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Hashomer HaChadash\שולחן העבודה\ארבל\מחשבונים\"/>
    </mc:Choice>
  </mc:AlternateContent>
  <bookViews>
    <workbookView xWindow="0" yWindow="0" windowWidth="23040" windowHeight="9216" tabRatio="870"/>
  </bookViews>
  <sheets>
    <sheet name="תפריט" sheetId="34" r:id="rId1"/>
    <sheet name="פינת קפה" sheetId="12" r:id="rId2"/>
    <sheet name="פת שחרית" sheetId="27" r:id="rId3"/>
    <sheet name="א.בוקר פריסה" sheetId="11" r:id="rId4"/>
    <sheet name="א.צהריים פריסה" sheetId="3" r:id="rId5"/>
    <sheet name="בוקר צהרים קיטים " sheetId="28" r:id="rId6"/>
    <sheet name="מרק" sheetId="30" r:id="rId7"/>
    <sheet name="פריסת אמצע" sheetId="23" r:id="rId8"/>
    <sheet name="ערב בשול" sheetId="29" state="hidden" r:id="rId9"/>
    <sheet name="ארוחת ערב בישול" sheetId="31" r:id="rId10"/>
    <sheet name="ארוחת ערב קטנות" sheetId="33" r:id="rId11"/>
    <sheet name="ארוחת ערב" sheetId="4" r:id="rId12"/>
    <sheet name="קיטים" sheetId="8" state="hidden" r:id="rId13"/>
    <sheet name="קיטים מיוחדים" sheetId="6" r:id="rId14"/>
    <sheet name="תוספות להזמנה" sheetId="32" r:id="rId15"/>
    <sheet name="חד&quot;פ" sheetId="2" r:id="rId16"/>
    <sheet name="טופס הזמנה" sheetId="19" state="hidden" r:id="rId17"/>
    <sheet name="תמחור קיט ליום" sheetId="16" state="hidden" r:id="rId18"/>
    <sheet name="גיליון1" sheetId="20" state="hidden" r:id="rId19"/>
    <sheet name="הזמנה - מחירון 2022" sheetId="37" r:id="rId20"/>
  </sheets>
  <externalReferences>
    <externalReference r:id="rId21"/>
    <externalReference r:id="rId22"/>
  </externalReferences>
  <definedNames>
    <definedName name="_xlnm._FilterDatabase" localSheetId="9" hidden="1">'ארוחת ערב בישול'!$A$6:$BE$72</definedName>
    <definedName name="_xlnm._FilterDatabase" localSheetId="10" hidden="1">'ארוחת ערב קטנות'!$A$6:$BE$51</definedName>
    <definedName name="_xlnm._FilterDatabase" localSheetId="15" hidden="1">'חד"פ'!$C$4:$D$11</definedName>
    <definedName name="_xlnm._FilterDatabase" localSheetId="12" hidden="1">קיטים!$A$8:$HB$27</definedName>
    <definedName name="fff" localSheetId="10">#REF!</definedName>
    <definedName name="fff" localSheetId="5">#REF!</definedName>
    <definedName name="fff" localSheetId="8">#REF!</definedName>
    <definedName name="fff" localSheetId="14">#REF!</definedName>
    <definedName name="fff">#REF!</definedName>
    <definedName name="k_sh" localSheetId="9">'ארוחת ערב בישול'!$BE$51:$BE$72</definedName>
    <definedName name="k_sh" localSheetId="10">'ארוחת ערב קטנות'!$BE$30:$BE$51</definedName>
    <definedName name="k_sh" localSheetId="5">#REF!</definedName>
    <definedName name="k_sh" localSheetId="8">#REF!</definedName>
    <definedName name="k_sh" localSheetId="14">#REF!</definedName>
    <definedName name="k_sh">#REF!</definedName>
    <definedName name="p_nak" localSheetId="9">'ארוחת ערב בישול'!$BE$29:$BE$48</definedName>
    <definedName name="p_nak" localSheetId="10">'ארוחת ערב קטנות'!#REF!</definedName>
    <definedName name="p_nak" localSheetId="5">#REF!</definedName>
    <definedName name="p_nak" localSheetId="8">#REF!</definedName>
    <definedName name="p_nak" localSheetId="14">#REF!</definedName>
    <definedName name="p_nak">#REF!</definedName>
    <definedName name="p_sh" localSheetId="9">'ארוחת ערב בישול'!$BE$7:$BE$26</definedName>
    <definedName name="p_sh" localSheetId="10">'ארוחת ערב קטנות'!$BE$7:$BE$26</definedName>
    <definedName name="p_sh" localSheetId="5">#REF!</definedName>
    <definedName name="p_sh" localSheetId="8">#REF!</definedName>
    <definedName name="p_sh" localSheetId="14">#REF!</definedName>
    <definedName name="p_sh">#REF!</definedName>
    <definedName name="Q_PriceListCustomer">#REF!</definedName>
    <definedName name="גגגג" localSheetId="3">#REF!</definedName>
    <definedName name="גגגג" localSheetId="11">#REF!</definedName>
    <definedName name="גגגג" localSheetId="9">#REF!</definedName>
    <definedName name="גגגג" localSheetId="10">#REF!</definedName>
    <definedName name="גגגג" localSheetId="5">#REF!</definedName>
    <definedName name="גגגג" localSheetId="6">#REF!</definedName>
    <definedName name="גגגג" localSheetId="8">#REF!</definedName>
    <definedName name="גגגג" localSheetId="1">#REF!</definedName>
    <definedName name="גגגג" localSheetId="2">#REF!</definedName>
    <definedName name="גגגג" localSheetId="14">#REF!</definedName>
    <definedName name="גגגג">#REF!</definedName>
    <definedName name="המבורגר" localSheetId="3">#REF!</definedName>
    <definedName name="המבורגר" localSheetId="11">#REF!</definedName>
    <definedName name="המבורגר" localSheetId="9">#REF!</definedName>
    <definedName name="המבורגר" localSheetId="10">#REF!</definedName>
    <definedName name="המבורגר" localSheetId="5">#REF!</definedName>
    <definedName name="המבורגר" localSheetId="6">#REF!</definedName>
    <definedName name="המבורגר" localSheetId="8">#REF!</definedName>
    <definedName name="המבורגר" localSheetId="1">#REF!</definedName>
    <definedName name="המבורגר" localSheetId="2">#REF!</definedName>
    <definedName name="המבורגר" localSheetId="14">#REF!</definedName>
    <definedName name="המבורגר">#REF!</definedName>
    <definedName name="יו" localSheetId="3">#REF!</definedName>
    <definedName name="יו" localSheetId="11">#REF!</definedName>
    <definedName name="יו" localSheetId="9">#REF!</definedName>
    <definedName name="יו" localSheetId="10">#REF!</definedName>
    <definedName name="יו" localSheetId="5">#REF!</definedName>
    <definedName name="יו" localSheetId="6">#REF!</definedName>
    <definedName name="יו" localSheetId="8">#REF!</definedName>
    <definedName name="יו" localSheetId="1">#REF!</definedName>
    <definedName name="יו" localSheetId="2">#REF!</definedName>
    <definedName name="יו" localSheetId="14">#REF!</definedName>
    <definedName name="יו">#REF!</definedName>
    <definedName name="יו2" localSheetId="3">#REF!</definedName>
    <definedName name="יו2" localSheetId="11">#REF!</definedName>
    <definedName name="יו2" localSheetId="9">#REF!</definedName>
    <definedName name="יו2" localSheetId="10">#REF!</definedName>
    <definedName name="יו2" localSheetId="5">#REF!</definedName>
    <definedName name="יו2" localSheetId="6">#REF!</definedName>
    <definedName name="יו2" localSheetId="8">#REF!</definedName>
    <definedName name="יו2" localSheetId="1">#REF!</definedName>
    <definedName name="יו2" localSheetId="2">#REF!</definedName>
    <definedName name="יו2" localSheetId="14">#REF!</definedName>
    <definedName name="יו2">#REF!</definedName>
    <definedName name="ינ" localSheetId="9">#REF!</definedName>
    <definedName name="ינ" localSheetId="10">#REF!</definedName>
    <definedName name="ינ" localSheetId="5">#REF!</definedName>
    <definedName name="ינ" localSheetId="6">#REF!</definedName>
    <definedName name="ינ" localSheetId="8">#REF!</definedName>
    <definedName name="ינ" localSheetId="14">#REF!</definedName>
    <definedName name="ינ">#REF!</definedName>
    <definedName name="נקניקיות" localSheetId="3">#REF!</definedName>
    <definedName name="נקניקיות" localSheetId="11">#REF!</definedName>
    <definedName name="נקניקיות" localSheetId="9">#REF!</definedName>
    <definedName name="נקניקיות" localSheetId="10">#REF!</definedName>
    <definedName name="נקניקיות" localSheetId="5">#REF!</definedName>
    <definedName name="נקניקיות" localSheetId="6">#REF!</definedName>
    <definedName name="נקניקיות" localSheetId="8">#REF!</definedName>
    <definedName name="נקניקיות" localSheetId="1">#REF!</definedName>
    <definedName name="נקניקיות" localSheetId="2">#REF!</definedName>
    <definedName name="נקניקיות" localSheetId="14">#REF!</definedName>
    <definedName name="נקניקיות">#REF!</definedName>
    <definedName name="צהריים" localSheetId="9">[1]!טבלה1[#All]</definedName>
    <definedName name="צהריים" localSheetId="10">[1]!טבלה1[#All]</definedName>
    <definedName name="צהריים" localSheetId="5">#REF!</definedName>
    <definedName name="צהריים" localSheetId="6">[1]!טבלה1[#All]</definedName>
    <definedName name="צהריים" localSheetId="8">#REF!</definedName>
    <definedName name="צהריים" localSheetId="2">#REF!</definedName>
    <definedName name="צהריים" localSheetId="14">טבלה1[#All]</definedName>
    <definedName name="צהריים">טבלה1[#All]</definedName>
    <definedName name="קיטים">קיטים!$A$8:$EI$47</definedName>
    <definedName name="שניצל" localSheetId="3">#REF!</definedName>
    <definedName name="שניצל" localSheetId="11">#REF!</definedName>
    <definedName name="שניצל" localSheetId="9">#REF!</definedName>
    <definedName name="שניצל" localSheetId="10">#REF!</definedName>
    <definedName name="שניצל" localSheetId="5">#REF!</definedName>
    <definedName name="שניצל" localSheetId="6">#REF!</definedName>
    <definedName name="שניצל" localSheetId="8">#REF!</definedName>
    <definedName name="שניצל" localSheetId="1">#REF!</definedName>
    <definedName name="שניצל" localSheetId="2">#REF!</definedName>
    <definedName name="שניצל" localSheetId="14">#REF!</definedName>
    <definedName name="שניצל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33" l="1"/>
  <c r="G31" i="33"/>
  <c r="Z34" i="37"/>
  <c r="Z79" i="37"/>
  <c r="Z13" i="37"/>
  <c r="Z80" i="37"/>
  <c r="Z81" i="37"/>
  <c r="Z82" i="37"/>
  <c r="Z83" i="37"/>
  <c r="Z14" i="37"/>
  <c r="Z84" i="37"/>
  <c r="Z85" i="37"/>
  <c r="Z32" i="37"/>
  <c r="Z86" i="37"/>
  <c r="Z12" i="37"/>
  <c r="Z87" i="37"/>
  <c r="Z53" i="37"/>
  <c r="Z88" i="37"/>
  <c r="Z15" i="37"/>
  <c r="Z89" i="37"/>
  <c r="Z90" i="37"/>
  <c r="Z91" i="37"/>
  <c r="Z19" i="37"/>
  <c r="Z92" i="37"/>
  <c r="Z36" i="37"/>
  <c r="Z93" i="37"/>
  <c r="Z71" i="37"/>
  <c r="Z37" i="37"/>
  <c r="Z48" i="37"/>
  <c r="Z35" i="37"/>
  <c r="Z94" i="37"/>
  <c r="Z95" i="37"/>
  <c r="Z96" i="37"/>
  <c r="Z97" i="37"/>
  <c r="Z38" i="37"/>
  <c r="Z98" i="37"/>
  <c r="Z99" i="37"/>
  <c r="Z100" i="37"/>
  <c r="Z101" i="37"/>
  <c r="Z102" i="37"/>
  <c r="Z103" i="37"/>
  <c r="Z20" i="37"/>
  <c r="Z104" i="37"/>
  <c r="Z105" i="37"/>
  <c r="Z75" i="37"/>
  <c r="Z76" i="37"/>
  <c r="Z106" i="37"/>
  <c r="Z107" i="37"/>
  <c r="Z54" i="37"/>
  <c r="Z108" i="37"/>
  <c r="Z109" i="37"/>
  <c r="Z110" i="37"/>
  <c r="Z77" i="37"/>
  <c r="Z69" i="37"/>
  <c r="Z111" i="37"/>
  <c r="Z64" i="37"/>
  <c r="Z55" i="37"/>
  <c r="Z47" i="37"/>
  <c r="Z112" i="37"/>
  <c r="Z43" i="37"/>
  <c r="Z44" i="37"/>
  <c r="Z21" i="37"/>
  <c r="Z56" i="37"/>
  <c r="Z22" i="37"/>
  <c r="Z113" i="37"/>
  <c r="Z57" i="37"/>
  <c r="Z114" i="37"/>
  <c r="Z58" i="37"/>
  <c r="Z23" i="37"/>
  <c r="Z115" i="37"/>
  <c r="Z116" i="37"/>
  <c r="Z65" i="37"/>
  <c r="Z78" i="37"/>
  <c r="Z117" i="37"/>
  <c r="Z72" i="37"/>
  <c r="Z118" i="37"/>
  <c r="Z119" i="37"/>
  <c r="Z120" i="37"/>
  <c r="Z121" i="37"/>
  <c r="Z122" i="37"/>
  <c r="Z123" i="37"/>
  <c r="Z124" i="37"/>
  <c r="Z24" i="37"/>
  <c r="Z125" i="37"/>
  <c r="Z73" i="37"/>
  <c r="Z126" i="37"/>
  <c r="Z127" i="37"/>
  <c r="Z29" i="37"/>
  <c r="Z128" i="37"/>
  <c r="Z129" i="37"/>
  <c r="Z130" i="37"/>
  <c r="Z131" i="37"/>
  <c r="Z39" i="37"/>
  <c r="Z132" i="37"/>
  <c r="Z133" i="37"/>
  <c r="Z59" i="37"/>
  <c r="Z134" i="37"/>
  <c r="Z135" i="37"/>
  <c r="Z74" i="37"/>
  <c r="Z49" i="37"/>
  <c r="Z136" i="37"/>
  <c r="Z137" i="37"/>
  <c r="Z16" i="37"/>
  <c r="Z138" i="37"/>
  <c r="Z139" i="37"/>
  <c r="Z140" i="37"/>
  <c r="Z141" i="37"/>
  <c r="Z41" i="37"/>
  <c r="Z142" i="37"/>
  <c r="Z143" i="37"/>
  <c r="Z144" i="37"/>
  <c r="Z145" i="37"/>
  <c r="Z45" i="37"/>
  <c r="Z33" i="37"/>
  <c r="Z146" i="37"/>
  <c r="Z147" i="37"/>
  <c r="Z60" i="37"/>
  <c r="Z148" i="37"/>
  <c r="Z149" i="37"/>
  <c r="Z150" i="37"/>
  <c r="Z151" i="37"/>
  <c r="Z152" i="37"/>
  <c r="Z153" i="37"/>
  <c r="Z154" i="37"/>
  <c r="Z155" i="37"/>
  <c r="Z156" i="37"/>
  <c r="Z157" i="37"/>
  <c r="Z158" i="37"/>
  <c r="Z63" i="37"/>
  <c r="Z159" i="37"/>
  <c r="Z160" i="37"/>
  <c r="Z50" i="37"/>
  <c r="Z161" i="37"/>
  <c r="Z162" i="37"/>
  <c r="Z163" i="37"/>
  <c r="Z164" i="37"/>
  <c r="Z165" i="37"/>
  <c r="Z166" i="37"/>
  <c r="Z28" i="37"/>
  <c r="Z17" i="37"/>
  <c r="Z51" i="37"/>
  <c r="Z42" i="37"/>
  <c r="Z167" i="37"/>
  <c r="Z52" i="37"/>
  <c r="Z46" i="37"/>
  <c r="Z168" i="37"/>
  <c r="Z169" i="37"/>
  <c r="Z170" i="37"/>
  <c r="Z171" i="37"/>
  <c r="Z172" i="37"/>
  <c r="Z173" i="37"/>
  <c r="Z174" i="37"/>
  <c r="Z61" i="37"/>
  <c r="Z175" i="37"/>
  <c r="Z176" i="37"/>
  <c r="Z70" i="37"/>
  <c r="Z177" i="37"/>
  <c r="Z178" i="37"/>
  <c r="Z18" i="37"/>
  <c r="Z179" i="37"/>
  <c r="Z180" i="37"/>
  <c r="Z30" i="37"/>
  <c r="Z62" i="37"/>
  <c r="Z66" i="37"/>
  <c r="Z181" i="37"/>
  <c r="Z182" i="37"/>
  <c r="Z183" i="37"/>
  <c r="Z67" i="37"/>
  <c r="Z184" i="37"/>
  <c r="Z185" i="37"/>
  <c r="Z186" i="37"/>
  <c r="Z25" i="37"/>
  <c r="Z187" i="37"/>
  <c r="Z188" i="37"/>
  <c r="Z189" i="37"/>
  <c r="Z190" i="37"/>
  <c r="Z26" i="37"/>
  <c r="Z27" i="37"/>
  <c r="Z191" i="37"/>
  <c r="Z192" i="37"/>
  <c r="Z193" i="37"/>
  <c r="Z194" i="37"/>
  <c r="Z195" i="37"/>
  <c r="Z196" i="37"/>
  <c r="Z197" i="37"/>
  <c r="Z198" i="37"/>
  <c r="Z199" i="37"/>
  <c r="Z200" i="37"/>
  <c r="Z201" i="37"/>
  <c r="Z202" i="37"/>
  <c r="Z203" i="37"/>
  <c r="Z204" i="37"/>
  <c r="Z205" i="37"/>
  <c r="Z206" i="37"/>
  <c r="Z207" i="37"/>
  <c r="Z208" i="37"/>
  <c r="Z209" i="37"/>
  <c r="Z210" i="37"/>
  <c r="Z211" i="37"/>
  <c r="Z40" i="37"/>
  <c r="Z68" i="37"/>
  <c r="Z31" i="37"/>
  <c r="Z212" i="37"/>
  <c r="Z213" i="37"/>
  <c r="Y34" i="37"/>
  <c r="Y79" i="37"/>
  <c r="Y13" i="37"/>
  <c r="Y80" i="37"/>
  <c r="Y81" i="37"/>
  <c r="Y82" i="37"/>
  <c r="Y83" i="37"/>
  <c r="Y14" i="37"/>
  <c r="Y84" i="37"/>
  <c r="Y85" i="37"/>
  <c r="Y32" i="37"/>
  <c r="Y86" i="37"/>
  <c r="Y12" i="37"/>
  <c r="Y87" i="37"/>
  <c r="Y53" i="37"/>
  <c r="Y88" i="37"/>
  <c r="Y15" i="37"/>
  <c r="Y89" i="37"/>
  <c r="Y90" i="37"/>
  <c r="Y91" i="37"/>
  <c r="Y19" i="37"/>
  <c r="Y92" i="37"/>
  <c r="Y36" i="37"/>
  <c r="Y93" i="37"/>
  <c r="Y71" i="37"/>
  <c r="Y37" i="37"/>
  <c r="Y48" i="37"/>
  <c r="Y35" i="37"/>
  <c r="Y94" i="37"/>
  <c r="Y95" i="37"/>
  <c r="Y96" i="37"/>
  <c r="Y97" i="37"/>
  <c r="Y38" i="37"/>
  <c r="Y98" i="37"/>
  <c r="Y99" i="37"/>
  <c r="Y100" i="37"/>
  <c r="Y101" i="37"/>
  <c r="Y102" i="37"/>
  <c r="Y103" i="37"/>
  <c r="Y20" i="37"/>
  <c r="Y104" i="37"/>
  <c r="Y105" i="37"/>
  <c r="Y76" i="37"/>
  <c r="Y106" i="37"/>
  <c r="Y107" i="37"/>
  <c r="Y54" i="37"/>
  <c r="Y108" i="37"/>
  <c r="Y109" i="37"/>
  <c r="Y110" i="37"/>
  <c r="Y77" i="37"/>
  <c r="Y69" i="37"/>
  <c r="Y111" i="37"/>
  <c r="Y64" i="37"/>
  <c r="Y55" i="37"/>
  <c r="Y47" i="37"/>
  <c r="Y112" i="37"/>
  <c r="Y43" i="37"/>
  <c r="Y44" i="37"/>
  <c r="Y21" i="37"/>
  <c r="Y56" i="37"/>
  <c r="Y22" i="37"/>
  <c r="Y113" i="37"/>
  <c r="Y57" i="37"/>
  <c r="Y114" i="37"/>
  <c r="Y58" i="37"/>
  <c r="Y23" i="37"/>
  <c r="Y115" i="37"/>
  <c r="Y116" i="37"/>
  <c r="Y65" i="37"/>
  <c r="Y117" i="37"/>
  <c r="Y72" i="37"/>
  <c r="Y118" i="37"/>
  <c r="Y119" i="37"/>
  <c r="Y120" i="37"/>
  <c r="Y121" i="37"/>
  <c r="Y122" i="37"/>
  <c r="Y123" i="37"/>
  <c r="Y124" i="37"/>
  <c r="Y24" i="37"/>
  <c r="Y125" i="37"/>
  <c r="Y73" i="37"/>
  <c r="Y126" i="37"/>
  <c r="Y127" i="37"/>
  <c r="Y29" i="37"/>
  <c r="Y128" i="37"/>
  <c r="Y129" i="37"/>
  <c r="Y130" i="37"/>
  <c r="Y131" i="37"/>
  <c r="Y39" i="37"/>
  <c r="Y132" i="37"/>
  <c r="Y133" i="37"/>
  <c r="Y59" i="37"/>
  <c r="Y134" i="37"/>
  <c r="Y135" i="37"/>
  <c r="Y49" i="37"/>
  <c r="Y136" i="37"/>
  <c r="Y137" i="37"/>
  <c r="Y138" i="37"/>
  <c r="Y139" i="37"/>
  <c r="Y140" i="37"/>
  <c r="Y141" i="37"/>
  <c r="Y41" i="37"/>
  <c r="Y142" i="37"/>
  <c r="Y143" i="37"/>
  <c r="Y144" i="37"/>
  <c r="Y145" i="37"/>
  <c r="Y45" i="37"/>
  <c r="Y33" i="37"/>
  <c r="Y146" i="37"/>
  <c r="Y60" i="37"/>
  <c r="Y148" i="37"/>
  <c r="Y149" i="37"/>
  <c r="Y150" i="37"/>
  <c r="Y151" i="37"/>
  <c r="Y153" i="37"/>
  <c r="Y154" i="37"/>
  <c r="Y155" i="37"/>
  <c r="Y156" i="37"/>
  <c r="Y157" i="37"/>
  <c r="Y158" i="37"/>
  <c r="Y63" i="37"/>
  <c r="Y159" i="37"/>
  <c r="Y160" i="37"/>
  <c r="Y50" i="37"/>
  <c r="Y161" i="37"/>
  <c r="Y162" i="37"/>
  <c r="Y163" i="37"/>
  <c r="Y164" i="37"/>
  <c r="Y165" i="37"/>
  <c r="Y166" i="37"/>
  <c r="Y28" i="37"/>
  <c r="Y51" i="37"/>
  <c r="Y42" i="37"/>
  <c r="Y167" i="37"/>
  <c r="Y52" i="37"/>
  <c r="Y46" i="37"/>
  <c r="Y168" i="37"/>
  <c r="Y169" i="37"/>
  <c r="Y170" i="37"/>
  <c r="Y171" i="37"/>
  <c r="Y172" i="37"/>
  <c r="Y173" i="37"/>
  <c r="Y174" i="37"/>
  <c r="Y61" i="37"/>
  <c r="Y70" i="37"/>
  <c r="Y177" i="37"/>
  <c r="Y178" i="37"/>
  <c r="Y179" i="37"/>
  <c r="Y180" i="37"/>
  <c r="Y30" i="37"/>
  <c r="Y62" i="37"/>
  <c r="Y66" i="37"/>
  <c r="Y181" i="37"/>
  <c r="Y182" i="37"/>
  <c r="Y183" i="37"/>
  <c r="Y67" i="37"/>
  <c r="Y184" i="37"/>
  <c r="Y185" i="37"/>
  <c r="Y25" i="37"/>
  <c r="Y188" i="37"/>
  <c r="Y189" i="37"/>
  <c r="Y190" i="37"/>
  <c r="Y26" i="37"/>
  <c r="Y27" i="37"/>
  <c r="Y191" i="37"/>
  <c r="Y192" i="37"/>
  <c r="Y193" i="37"/>
  <c r="Y194" i="37"/>
  <c r="Y195" i="37"/>
  <c r="Y196" i="37"/>
  <c r="Y197" i="37"/>
  <c r="Y198" i="37"/>
  <c r="Y199" i="37"/>
  <c r="Y200" i="37"/>
  <c r="Y201" i="37"/>
  <c r="Y202" i="37"/>
  <c r="Y203" i="37"/>
  <c r="Y204" i="37"/>
  <c r="Y205" i="37"/>
  <c r="Y206" i="37"/>
  <c r="Y207" i="37"/>
  <c r="Y208" i="37"/>
  <c r="Y209" i="37"/>
  <c r="Y210" i="37"/>
  <c r="Y211" i="37"/>
  <c r="Y40" i="37"/>
  <c r="Y68" i="37"/>
  <c r="Y31" i="37"/>
  <c r="Y213" i="37"/>
  <c r="X79" i="37"/>
  <c r="X13" i="37"/>
  <c r="X80" i="37"/>
  <c r="X81" i="37"/>
  <c r="X82" i="37"/>
  <c r="X83" i="37"/>
  <c r="X14" i="37"/>
  <c r="X84" i="37"/>
  <c r="X85" i="37"/>
  <c r="X86" i="37"/>
  <c r="X12" i="37"/>
  <c r="X87" i="37"/>
  <c r="X53" i="37"/>
  <c r="X88" i="37"/>
  <c r="X15" i="37"/>
  <c r="X89" i="37"/>
  <c r="X90" i="37"/>
  <c r="X91" i="37"/>
  <c r="X19" i="37"/>
  <c r="X92" i="37"/>
  <c r="X93" i="37"/>
  <c r="X71" i="37"/>
  <c r="X37" i="37"/>
  <c r="X48" i="37"/>
  <c r="X94" i="37"/>
  <c r="X95" i="37"/>
  <c r="X96" i="37"/>
  <c r="X97" i="37"/>
  <c r="X98" i="37"/>
  <c r="X99" i="37"/>
  <c r="X100" i="37"/>
  <c r="X101" i="37"/>
  <c r="X102" i="37"/>
  <c r="X103" i="37"/>
  <c r="X20" i="37"/>
  <c r="X104" i="37"/>
  <c r="X105" i="37"/>
  <c r="X75" i="37"/>
  <c r="X76" i="37"/>
  <c r="X106" i="37"/>
  <c r="X107" i="37"/>
  <c r="X54" i="37"/>
  <c r="X108" i="37"/>
  <c r="X109" i="37"/>
  <c r="X110" i="37"/>
  <c r="X77" i="37"/>
  <c r="X69" i="37"/>
  <c r="X111" i="37"/>
  <c r="X64" i="37"/>
  <c r="X55" i="37"/>
  <c r="X47" i="37"/>
  <c r="X112" i="37"/>
  <c r="X43" i="37"/>
  <c r="X44" i="37"/>
  <c r="X21" i="37"/>
  <c r="X56" i="37"/>
  <c r="X22" i="37"/>
  <c r="X113" i="37"/>
  <c r="X57" i="37"/>
  <c r="X114" i="37"/>
  <c r="X58" i="37"/>
  <c r="X115" i="37"/>
  <c r="X116" i="37"/>
  <c r="X65" i="37"/>
  <c r="X78" i="37"/>
  <c r="X117" i="37"/>
  <c r="X72" i="37"/>
  <c r="X118" i="37"/>
  <c r="X119" i="37"/>
  <c r="X120" i="37"/>
  <c r="X121" i="37"/>
  <c r="X122" i="37"/>
  <c r="X123" i="37"/>
  <c r="X124" i="37"/>
  <c r="X24" i="37"/>
  <c r="X125" i="37"/>
  <c r="X73" i="37"/>
  <c r="X126" i="37"/>
  <c r="X127" i="37"/>
  <c r="X29" i="37"/>
  <c r="X128" i="37"/>
  <c r="X129" i="37"/>
  <c r="X130" i="37"/>
  <c r="X131" i="37"/>
  <c r="X132" i="37"/>
  <c r="X133" i="37"/>
  <c r="X59" i="37"/>
  <c r="X134" i="37"/>
  <c r="X135" i="37"/>
  <c r="X74" i="37"/>
  <c r="X49" i="37"/>
  <c r="X136" i="37"/>
  <c r="X137" i="37"/>
  <c r="X138" i="37"/>
  <c r="X139" i="37"/>
  <c r="X140" i="37"/>
  <c r="X141" i="37"/>
  <c r="X142" i="37"/>
  <c r="X143" i="37"/>
  <c r="X144" i="37"/>
  <c r="X145" i="37"/>
  <c r="X45" i="37"/>
  <c r="X146" i="37"/>
  <c r="X147" i="37"/>
  <c r="X60" i="37"/>
  <c r="X148" i="37"/>
  <c r="X149" i="37"/>
  <c r="X150" i="37"/>
  <c r="X151" i="37"/>
  <c r="X152" i="37"/>
  <c r="X153" i="37"/>
  <c r="X154" i="37"/>
  <c r="X155" i="37"/>
  <c r="X156" i="37"/>
  <c r="X157" i="37"/>
  <c r="X158" i="37"/>
  <c r="X63" i="37"/>
  <c r="X159" i="37"/>
  <c r="X160" i="37"/>
  <c r="X50" i="37"/>
  <c r="X161" i="37"/>
  <c r="X162" i="37"/>
  <c r="X163" i="37"/>
  <c r="X164" i="37"/>
  <c r="X165" i="37"/>
  <c r="X166" i="37"/>
  <c r="X28" i="37"/>
  <c r="X17" i="37"/>
  <c r="X51" i="37"/>
  <c r="X167" i="37"/>
  <c r="X52" i="37"/>
  <c r="X46" i="37"/>
  <c r="X168" i="37"/>
  <c r="X169" i="37"/>
  <c r="X170" i="37"/>
  <c r="X171" i="37"/>
  <c r="X172" i="37"/>
  <c r="X173" i="37"/>
  <c r="X174" i="37"/>
  <c r="X61" i="37"/>
  <c r="X175" i="37"/>
  <c r="X176" i="37"/>
  <c r="X70" i="37"/>
  <c r="X177" i="37"/>
  <c r="X178" i="37"/>
  <c r="X18" i="37"/>
  <c r="X179" i="37"/>
  <c r="X180" i="37"/>
  <c r="X30" i="37"/>
  <c r="X62" i="37"/>
  <c r="X66" i="37"/>
  <c r="X181" i="37"/>
  <c r="X182" i="37"/>
  <c r="X183" i="37"/>
  <c r="X67" i="37"/>
  <c r="X184" i="37"/>
  <c r="X185" i="37"/>
  <c r="X186" i="37"/>
  <c r="X187" i="37"/>
  <c r="X188" i="37"/>
  <c r="X189" i="37"/>
  <c r="X190" i="37"/>
  <c r="X26" i="37"/>
  <c r="X191" i="37"/>
  <c r="X192" i="37"/>
  <c r="X193" i="37"/>
  <c r="X194" i="37"/>
  <c r="X195" i="37"/>
  <c r="X196" i="37"/>
  <c r="X197" i="37"/>
  <c r="X198" i="37"/>
  <c r="X199" i="37"/>
  <c r="X200" i="37"/>
  <c r="X201" i="37"/>
  <c r="X202" i="37"/>
  <c r="X203" i="37"/>
  <c r="X204" i="37"/>
  <c r="X205" i="37"/>
  <c r="X206" i="37"/>
  <c r="X207" i="37"/>
  <c r="X208" i="37"/>
  <c r="X209" i="37"/>
  <c r="X210" i="37"/>
  <c r="X211" i="37"/>
  <c r="X68" i="37"/>
  <c r="X31" i="37"/>
  <c r="X212" i="37"/>
  <c r="X213" i="37"/>
  <c r="W79" i="37"/>
  <c r="W13" i="37"/>
  <c r="W80" i="37"/>
  <c r="W81" i="37"/>
  <c r="W82" i="37"/>
  <c r="W83" i="37"/>
  <c r="W14" i="37"/>
  <c r="W84" i="37"/>
  <c r="W85" i="37"/>
  <c r="W86" i="37"/>
  <c r="W12" i="37"/>
  <c r="W87" i="37"/>
  <c r="W53" i="37"/>
  <c r="W88" i="37"/>
  <c r="W15" i="37"/>
  <c r="W89" i="37"/>
  <c r="W90" i="37"/>
  <c r="W91" i="37"/>
  <c r="W92" i="37"/>
  <c r="W93" i="37"/>
  <c r="W71" i="37"/>
  <c r="W37" i="37"/>
  <c r="W48" i="37"/>
  <c r="W94" i="37"/>
  <c r="W95" i="37"/>
  <c r="W96" i="37"/>
  <c r="W97" i="37"/>
  <c r="W98" i="37"/>
  <c r="W99" i="37"/>
  <c r="W100" i="37"/>
  <c r="W101" i="37"/>
  <c r="W102" i="37"/>
  <c r="W103" i="37"/>
  <c r="W104" i="37"/>
  <c r="W105" i="37"/>
  <c r="W75" i="37"/>
  <c r="W76" i="37"/>
  <c r="W106" i="37"/>
  <c r="W107" i="37"/>
  <c r="W54" i="37"/>
  <c r="W108" i="37"/>
  <c r="W109" i="37"/>
  <c r="W110" i="37"/>
  <c r="W77" i="37"/>
  <c r="W69" i="37"/>
  <c r="W111" i="37"/>
  <c r="W64" i="37"/>
  <c r="W55" i="37"/>
  <c r="W47" i="37"/>
  <c r="W112" i="37"/>
  <c r="W43" i="37"/>
  <c r="W44" i="37"/>
  <c r="W56" i="37"/>
  <c r="W22" i="37"/>
  <c r="W113" i="37"/>
  <c r="W57" i="37"/>
  <c r="W114" i="37"/>
  <c r="W58" i="37"/>
  <c r="W23" i="37"/>
  <c r="W115" i="37"/>
  <c r="W116" i="37"/>
  <c r="W65" i="37"/>
  <c r="W78" i="37"/>
  <c r="W117" i="37"/>
  <c r="W72" i="37"/>
  <c r="W118" i="37"/>
  <c r="W119" i="37"/>
  <c r="W120" i="37"/>
  <c r="W121" i="37"/>
  <c r="W122" i="37"/>
  <c r="W123" i="37"/>
  <c r="W124" i="37"/>
  <c r="W125" i="37"/>
  <c r="W73" i="37"/>
  <c r="W126" i="37"/>
  <c r="W127" i="37"/>
  <c r="W128" i="37"/>
  <c r="W129" i="37"/>
  <c r="W130" i="37"/>
  <c r="W131" i="37"/>
  <c r="W39" i="37"/>
  <c r="W132" i="37"/>
  <c r="W133" i="37"/>
  <c r="W59" i="37"/>
  <c r="W134" i="37"/>
  <c r="W135" i="37"/>
  <c r="W74" i="37"/>
  <c r="W49" i="37"/>
  <c r="W136" i="37"/>
  <c r="W137" i="37"/>
  <c r="W138" i="37"/>
  <c r="W139" i="37"/>
  <c r="W140" i="37"/>
  <c r="W141" i="37"/>
  <c r="W142" i="37"/>
  <c r="W143" i="37"/>
  <c r="W144" i="37"/>
  <c r="W145" i="37"/>
  <c r="W45" i="37"/>
  <c r="W146" i="37"/>
  <c r="W147" i="37"/>
  <c r="W60" i="37"/>
  <c r="W148" i="37"/>
  <c r="W149" i="37"/>
  <c r="W150" i="37"/>
  <c r="W151" i="37"/>
  <c r="W152" i="37"/>
  <c r="W153" i="37"/>
  <c r="W154" i="37"/>
  <c r="W155" i="37"/>
  <c r="W156" i="37"/>
  <c r="W157" i="37"/>
  <c r="W158" i="37"/>
  <c r="W63" i="37"/>
  <c r="W159" i="37"/>
  <c r="W160" i="37"/>
  <c r="W50" i="37"/>
  <c r="W161" i="37"/>
  <c r="W162" i="37"/>
  <c r="W163" i="37"/>
  <c r="W164" i="37"/>
  <c r="W165" i="37"/>
  <c r="W166" i="37"/>
  <c r="W17" i="37"/>
  <c r="W51" i="37"/>
  <c r="W42" i="37"/>
  <c r="W167" i="37"/>
  <c r="W52" i="37"/>
  <c r="W46" i="37"/>
  <c r="W168" i="37"/>
  <c r="W169" i="37"/>
  <c r="W170" i="37"/>
  <c r="W171" i="37"/>
  <c r="W172" i="37"/>
  <c r="W173" i="37"/>
  <c r="W174" i="37"/>
  <c r="W61" i="37"/>
  <c r="W175" i="37"/>
  <c r="W176" i="37"/>
  <c r="W70" i="37"/>
  <c r="W177" i="37"/>
  <c r="W178" i="37"/>
  <c r="W18" i="37"/>
  <c r="W179" i="37"/>
  <c r="W180" i="37"/>
  <c r="W30" i="37"/>
  <c r="W62" i="37"/>
  <c r="W66" i="37"/>
  <c r="W181" i="37"/>
  <c r="W182" i="37"/>
  <c r="W183" i="37"/>
  <c r="W67" i="37"/>
  <c r="W184" i="37"/>
  <c r="W185" i="37"/>
  <c r="W186" i="37"/>
  <c r="W25" i="37"/>
  <c r="W187" i="37"/>
  <c r="W188" i="37"/>
  <c r="W189" i="37"/>
  <c r="W190" i="37"/>
  <c r="W27" i="37"/>
  <c r="W191" i="37"/>
  <c r="W192" i="37"/>
  <c r="W193" i="37"/>
  <c r="W194" i="37"/>
  <c r="W195" i="37"/>
  <c r="W196" i="37"/>
  <c r="W197" i="37"/>
  <c r="W198" i="37"/>
  <c r="W199" i="37"/>
  <c r="W200" i="37"/>
  <c r="W201" i="37"/>
  <c r="W202" i="37"/>
  <c r="W203" i="37"/>
  <c r="W204" i="37"/>
  <c r="W205" i="37"/>
  <c r="W206" i="37"/>
  <c r="W207" i="37"/>
  <c r="W208" i="37"/>
  <c r="W209" i="37"/>
  <c r="W210" i="37"/>
  <c r="W211" i="37"/>
  <c r="W68" i="37"/>
  <c r="W31" i="37"/>
  <c r="W212" i="37"/>
  <c r="W213" i="37"/>
  <c r="V79" i="37"/>
  <c r="V13" i="37"/>
  <c r="V80" i="37"/>
  <c r="V81" i="37"/>
  <c r="V82" i="37"/>
  <c r="V83" i="37"/>
  <c r="V14" i="37"/>
  <c r="V84" i="37"/>
  <c r="V85" i="37"/>
  <c r="V86" i="37"/>
  <c r="V12" i="37"/>
  <c r="V87" i="37"/>
  <c r="V53" i="37"/>
  <c r="V88" i="37"/>
  <c r="V15" i="37"/>
  <c r="V89" i="37"/>
  <c r="V90" i="37"/>
  <c r="V91" i="37"/>
  <c r="V19" i="37"/>
  <c r="V92" i="37"/>
  <c r="V93" i="37"/>
  <c r="V71" i="37"/>
  <c r="V48" i="37"/>
  <c r="V94" i="37"/>
  <c r="V95" i="37"/>
  <c r="V96" i="37"/>
  <c r="V97" i="37"/>
  <c r="V98" i="37"/>
  <c r="V99" i="37"/>
  <c r="V100" i="37"/>
  <c r="V101" i="37"/>
  <c r="V102" i="37"/>
  <c r="V103" i="37"/>
  <c r="V20" i="37"/>
  <c r="V104" i="37"/>
  <c r="V105" i="37"/>
  <c r="V75" i="37"/>
  <c r="V76" i="37"/>
  <c r="V106" i="37"/>
  <c r="V107" i="37"/>
  <c r="V54" i="37"/>
  <c r="V108" i="37"/>
  <c r="V109" i="37"/>
  <c r="V110" i="37"/>
  <c r="V77" i="37"/>
  <c r="V69" i="37"/>
  <c r="V111" i="37"/>
  <c r="V64" i="37"/>
  <c r="V55" i="37"/>
  <c r="V47" i="37"/>
  <c r="V112" i="37"/>
  <c r="V43" i="37"/>
  <c r="V44" i="37"/>
  <c r="V21" i="37"/>
  <c r="V56" i="37"/>
  <c r="V113" i="37"/>
  <c r="V57" i="37"/>
  <c r="V114" i="37"/>
  <c r="V58" i="37"/>
  <c r="V23" i="37"/>
  <c r="V115" i="37"/>
  <c r="V116" i="37"/>
  <c r="V65" i="37"/>
  <c r="V78" i="37"/>
  <c r="V117" i="37"/>
  <c r="V72" i="37"/>
  <c r="V118" i="37"/>
  <c r="V119" i="37"/>
  <c r="V120" i="37"/>
  <c r="V121" i="37"/>
  <c r="V122" i="37"/>
  <c r="V123" i="37"/>
  <c r="V124" i="37"/>
  <c r="V24" i="37"/>
  <c r="V125" i="37"/>
  <c r="V73" i="37"/>
  <c r="V126" i="37"/>
  <c r="V127" i="37"/>
  <c r="V29" i="37"/>
  <c r="V128" i="37"/>
  <c r="V129" i="37"/>
  <c r="V130" i="37"/>
  <c r="V131" i="37"/>
  <c r="V39" i="37"/>
  <c r="V132" i="37"/>
  <c r="V133" i="37"/>
  <c r="V59" i="37"/>
  <c r="V134" i="37"/>
  <c r="V135" i="37"/>
  <c r="V74" i="37"/>
  <c r="V49" i="37"/>
  <c r="V136" i="37"/>
  <c r="V137" i="37"/>
  <c r="V138" i="37"/>
  <c r="V139" i="37"/>
  <c r="V140" i="37"/>
  <c r="V141" i="37"/>
  <c r="V142" i="37"/>
  <c r="V143" i="37"/>
  <c r="V144" i="37"/>
  <c r="V145" i="37"/>
  <c r="V45" i="37"/>
  <c r="V146" i="37"/>
  <c r="V147" i="37"/>
  <c r="V60" i="37"/>
  <c r="V148" i="37"/>
  <c r="V149" i="37"/>
  <c r="V150" i="37"/>
  <c r="V151" i="37"/>
  <c r="V152" i="37"/>
  <c r="V153" i="37"/>
  <c r="V154" i="37"/>
  <c r="V155" i="37"/>
  <c r="V156" i="37"/>
  <c r="V157" i="37"/>
  <c r="V158" i="37"/>
  <c r="V63" i="37"/>
  <c r="V159" i="37"/>
  <c r="V160" i="37"/>
  <c r="V50" i="37"/>
  <c r="V161" i="37"/>
  <c r="V162" i="37"/>
  <c r="V163" i="37"/>
  <c r="V164" i="37"/>
  <c r="V165" i="37"/>
  <c r="V166" i="37"/>
  <c r="V17" i="37"/>
  <c r="V51" i="37"/>
  <c r="V42" i="37"/>
  <c r="V167" i="37"/>
  <c r="V52" i="37"/>
  <c r="V46" i="37"/>
  <c r="V168" i="37"/>
  <c r="V169" i="37"/>
  <c r="V170" i="37"/>
  <c r="V171" i="37"/>
  <c r="V172" i="37"/>
  <c r="V173" i="37"/>
  <c r="V174" i="37"/>
  <c r="V61" i="37"/>
  <c r="V175" i="37"/>
  <c r="V176" i="37"/>
  <c r="V70" i="37"/>
  <c r="V177" i="37"/>
  <c r="V178" i="37"/>
  <c r="V18" i="37"/>
  <c r="V179" i="37"/>
  <c r="V180" i="37"/>
  <c r="V62" i="37"/>
  <c r="V66" i="37"/>
  <c r="V181" i="37"/>
  <c r="V182" i="37"/>
  <c r="V183" i="37"/>
  <c r="V67" i="37"/>
  <c r="V184" i="37"/>
  <c r="V185" i="37"/>
  <c r="V186" i="37"/>
  <c r="V25" i="37"/>
  <c r="V187" i="37"/>
  <c r="V188" i="37"/>
  <c r="V189" i="37"/>
  <c r="V190" i="37"/>
  <c r="V26" i="37"/>
  <c r="V27" i="37"/>
  <c r="V191" i="37"/>
  <c r="V192" i="37"/>
  <c r="V193" i="37"/>
  <c r="V194" i="37"/>
  <c r="V195" i="37"/>
  <c r="V196" i="37"/>
  <c r="V197" i="37"/>
  <c r="V198" i="37"/>
  <c r="V199" i="37"/>
  <c r="V200" i="37"/>
  <c r="V201" i="37"/>
  <c r="V202" i="37"/>
  <c r="V203" i="37"/>
  <c r="V204" i="37"/>
  <c r="V205" i="37"/>
  <c r="V206" i="37"/>
  <c r="V207" i="37"/>
  <c r="V208" i="37"/>
  <c r="V209" i="37"/>
  <c r="V210" i="37"/>
  <c r="V211" i="37"/>
  <c r="V68" i="37"/>
  <c r="V212" i="37"/>
  <c r="V213" i="37"/>
  <c r="U34" i="37"/>
  <c r="U79" i="37"/>
  <c r="U13" i="37"/>
  <c r="U80" i="37"/>
  <c r="U81" i="37"/>
  <c r="U82" i="37"/>
  <c r="U83" i="37"/>
  <c r="U14" i="37"/>
  <c r="U84" i="37"/>
  <c r="U85" i="37"/>
  <c r="U32" i="37"/>
  <c r="U86" i="37"/>
  <c r="U12" i="37"/>
  <c r="U87" i="37"/>
  <c r="U53" i="37"/>
  <c r="U88" i="37"/>
  <c r="U15" i="37"/>
  <c r="U89" i="37"/>
  <c r="U90" i="37"/>
  <c r="U91" i="37"/>
  <c r="U19" i="37"/>
  <c r="U92" i="37"/>
  <c r="U36" i="37"/>
  <c r="U93" i="37"/>
  <c r="U71" i="37"/>
  <c r="U37" i="37"/>
  <c r="U48" i="37"/>
  <c r="U35" i="37"/>
  <c r="U94" i="37"/>
  <c r="U95" i="37"/>
  <c r="U96" i="37"/>
  <c r="U97" i="37"/>
  <c r="U38" i="37"/>
  <c r="U98" i="37"/>
  <c r="U99" i="37"/>
  <c r="U100" i="37"/>
  <c r="U101" i="37"/>
  <c r="U102" i="37"/>
  <c r="U103" i="37"/>
  <c r="U20" i="37"/>
  <c r="U104" i="37"/>
  <c r="U105" i="37"/>
  <c r="U75" i="37"/>
  <c r="U76" i="37"/>
  <c r="U106" i="37"/>
  <c r="U107" i="37"/>
  <c r="U54" i="37"/>
  <c r="U108" i="37"/>
  <c r="U109" i="37"/>
  <c r="U110" i="37"/>
  <c r="U77" i="37"/>
  <c r="U69" i="37"/>
  <c r="U111" i="37"/>
  <c r="U64" i="37"/>
  <c r="U55" i="37"/>
  <c r="U47" i="37"/>
  <c r="U112" i="37"/>
  <c r="U43" i="37"/>
  <c r="U44" i="37"/>
  <c r="U21" i="37"/>
  <c r="U56" i="37"/>
  <c r="U22" i="37"/>
  <c r="U113" i="37"/>
  <c r="U57" i="37"/>
  <c r="U114" i="37"/>
  <c r="U58" i="37"/>
  <c r="U23" i="37"/>
  <c r="U115" i="37"/>
  <c r="U116" i="37"/>
  <c r="U65" i="37"/>
  <c r="U78" i="37"/>
  <c r="U117" i="37"/>
  <c r="U72" i="37"/>
  <c r="U118" i="37"/>
  <c r="U119" i="37"/>
  <c r="U120" i="37"/>
  <c r="U121" i="37"/>
  <c r="U122" i="37"/>
  <c r="U123" i="37"/>
  <c r="U124" i="37"/>
  <c r="U24" i="37"/>
  <c r="U125" i="37"/>
  <c r="U73" i="37"/>
  <c r="U126" i="37"/>
  <c r="U127" i="37"/>
  <c r="U29" i="37"/>
  <c r="U128" i="37"/>
  <c r="U129" i="37"/>
  <c r="U130" i="37"/>
  <c r="U131" i="37"/>
  <c r="U39" i="37"/>
  <c r="U132" i="37"/>
  <c r="U133" i="37"/>
  <c r="U59" i="37"/>
  <c r="U134" i="37"/>
  <c r="U135" i="37"/>
  <c r="U74" i="37"/>
  <c r="U49" i="37"/>
  <c r="U136" i="37"/>
  <c r="U137" i="37"/>
  <c r="U16" i="37"/>
  <c r="U138" i="37"/>
  <c r="U139" i="37"/>
  <c r="U140" i="37"/>
  <c r="U141" i="37"/>
  <c r="U41" i="37"/>
  <c r="U142" i="37"/>
  <c r="U143" i="37"/>
  <c r="U144" i="37"/>
  <c r="U145" i="37"/>
  <c r="U45" i="37"/>
  <c r="U33" i="37"/>
  <c r="U146" i="37"/>
  <c r="U147" i="37"/>
  <c r="U60" i="37"/>
  <c r="U148" i="37"/>
  <c r="U149" i="37"/>
  <c r="U150" i="37"/>
  <c r="U151" i="37"/>
  <c r="U152" i="37"/>
  <c r="U153" i="37"/>
  <c r="U154" i="37"/>
  <c r="U155" i="37"/>
  <c r="U156" i="37"/>
  <c r="U157" i="37"/>
  <c r="U158" i="37"/>
  <c r="U63" i="37"/>
  <c r="U159" i="37"/>
  <c r="U160" i="37"/>
  <c r="U50" i="37"/>
  <c r="U161" i="37"/>
  <c r="U162" i="37"/>
  <c r="U163" i="37"/>
  <c r="U164" i="37"/>
  <c r="U165" i="37"/>
  <c r="U166" i="37"/>
  <c r="U28" i="37"/>
  <c r="U17" i="37"/>
  <c r="U51" i="37"/>
  <c r="U42" i="37"/>
  <c r="U167" i="37"/>
  <c r="U52" i="37"/>
  <c r="U46" i="37"/>
  <c r="U168" i="37"/>
  <c r="U169" i="37"/>
  <c r="U170" i="37"/>
  <c r="U171" i="37"/>
  <c r="U172" i="37"/>
  <c r="U173" i="37"/>
  <c r="U174" i="37"/>
  <c r="U61" i="37"/>
  <c r="U175" i="37"/>
  <c r="U176" i="37"/>
  <c r="U70" i="37"/>
  <c r="U177" i="37"/>
  <c r="U178" i="37"/>
  <c r="U18" i="37"/>
  <c r="U179" i="37"/>
  <c r="U180" i="37"/>
  <c r="U30" i="37"/>
  <c r="U62" i="37"/>
  <c r="U66" i="37"/>
  <c r="U181" i="37"/>
  <c r="U182" i="37"/>
  <c r="U183" i="37"/>
  <c r="U67" i="37"/>
  <c r="U184" i="37"/>
  <c r="U185" i="37"/>
  <c r="U186" i="37"/>
  <c r="U25" i="37"/>
  <c r="U187" i="37"/>
  <c r="U188" i="37"/>
  <c r="U189" i="37"/>
  <c r="U190" i="37"/>
  <c r="U26" i="37"/>
  <c r="U27" i="37"/>
  <c r="U191" i="37"/>
  <c r="U192" i="37"/>
  <c r="U193" i="37"/>
  <c r="U194" i="37"/>
  <c r="U195" i="37"/>
  <c r="U196" i="37"/>
  <c r="U197" i="37"/>
  <c r="U198" i="37"/>
  <c r="U199" i="37"/>
  <c r="U200" i="37"/>
  <c r="U201" i="37"/>
  <c r="U202" i="37"/>
  <c r="U203" i="37"/>
  <c r="U204" i="37"/>
  <c r="U205" i="37"/>
  <c r="U206" i="37"/>
  <c r="U207" i="37"/>
  <c r="U208" i="37"/>
  <c r="U209" i="37"/>
  <c r="U210" i="37"/>
  <c r="U211" i="37"/>
  <c r="U40" i="37"/>
  <c r="U68" i="37"/>
  <c r="U31" i="37"/>
  <c r="U212" i="37"/>
  <c r="U213" i="37"/>
  <c r="T34" i="37"/>
  <c r="T79" i="37"/>
  <c r="T13" i="37"/>
  <c r="T80" i="37"/>
  <c r="T81" i="37"/>
  <c r="T82" i="37"/>
  <c r="T83" i="37"/>
  <c r="T14" i="37"/>
  <c r="T84" i="37"/>
  <c r="T85" i="37"/>
  <c r="T32" i="37"/>
  <c r="T86" i="37"/>
  <c r="T12" i="37"/>
  <c r="T87" i="37"/>
  <c r="T53" i="37"/>
  <c r="T88" i="37"/>
  <c r="T15" i="37"/>
  <c r="T89" i="37"/>
  <c r="T90" i="37"/>
  <c r="T91" i="37"/>
  <c r="T19" i="37"/>
  <c r="T92" i="37"/>
  <c r="T36" i="37"/>
  <c r="T93" i="37"/>
  <c r="T71" i="37"/>
  <c r="T37" i="37"/>
  <c r="T48" i="37"/>
  <c r="T35" i="37"/>
  <c r="T94" i="37"/>
  <c r="T95" i="37"/>
  <c r="T96" i="37"/>
  <c r="T97" i="37"/>
  <c r="T38" i="37"/>
  <c r="T98" i="37"/>
  <c r="T99" i="37"/>
  <c r="T100" i="37"/>
  <c r="T101" i="37"/>
  <c r="T102" i="37"/>
  <c r="T103" i="37"/>
  <c r="T20" i="37"/>
  <c r="T104" i="37"/>
  <c r="T105" i="37"/>
  <c r="T75" i="37"/>
  <c r="T76" i="37"/>
  <c r="T106" i="37"/>
  <c r="T107" i="37"/>
  <c r="T54" i="37"/>
  <c r="T108" i="37"/>
  <c r="T109" i="37"/>
  <c r="T110" i="37"/>
  <c r="T77" i="37"/>
  <c r="T69" i="37"/>
  <c r="T111" i="37"/>
  <c r="T64" i="37"/>
  <c r="T55" i="37"/>
  <c r="T47" i="37"/>
  <c r="T112" i="37"/>
  <c r="T43" i="37"/>
  <c r="T44" i="37"/>
  <c r="T21" i="37"/>
  <c r="T56" i="37"/>
  <c r="T22" i="37"/>
  <c r="T113" i="37"/>
  <c r="T57" i="37"/>
  <c r="T114" i="37"/>
  <c r="T58" i="37"/>
  <c r="T23" i="37"/>
  <c r="T115" i="37"/>
  <c r="T116" i="37"/>
  <c r="T65" i="37"/>
  <c r="T78" i="37"/>
  <c r="T117" i="37"/>
  <c r="T72" i="37"/>
  <c r="T118" i="37"/>
  <c r="T119" i="37"/>
  <c r="T120" i="37"/>
  <c r="T121" i="37"/>
  <c r="T122" i="37"/>
  <c r="T123" i="37"/>
  <c r="T124" i="37"/>
  <c r="T24" i="37"/>
  <c r="T125" i="37"/>
  <c r="T73" i="37"/>
  <c r="T126" i="37"/>
  <c r="T127" i="37"/>
  <c r="T29" i="37"/>
  <c r="T128" i="37"/>
  <c r="T129" i="37"/>
  <c r="T130" i="37"/>
  <c r="T131" i="37"/>
  <c r="T39" i="37"/>
  <c r="T132" i="37"/>
  <c r="T133" i="37"/>
  <c r="T59" i="37"/>
  <c r="T134" i="37"/>
  <c r="T135" i="37"/>
  <c r="T74" i="37"/>
  <c r="T49" i="37"/>
  <c r="T136" i="37"/>
  <c r="T137" i="37"/>
  <c r="T16" i="37"/>
  <c r="T138" i="37"/>
  <c r="T139" i="37"/>
  <c r="T140" i="37"/>
  <c r="T141" i="37"/>
  <c r="T41" i="37"/>
  <c r="T142" i="37"/>
  <c r="T143" i="37"/>
  <c r="T144" i="37"/>
  <c r="T145" i="37"/>
  <c r="T45" i="37"/>
  <c r="T33" i="37"/>
  <c r="T146" i="37"/>
  <c r="T147" i="37"/>
  <c r="T60" i="37"/>
  <c r="T148" i="37"/>
  <c r="T149" i="37"/>
  <c r="T150" i="37"/>
  <c r="T151" i="37"/>
  <c r="T152" i="37"/>
  <c r="T153" i="37"/>
  <c r="T154" i="37"/>
  <c r="T155" i="37"/>
  <c r="T156" i="37"/>
  <c r="T157" i="37"/>
  <c r="T158" i="37"/>
  <c r="T63" i="37"/>
  <c r="T159" i="37"/>
  <c r="T160" i="37"/>
  <c r="T50" i="37"/>
  <c r="T161" i="37"/>
  <c r="T162" i="37"/>
  <c r="T163" i="37"/>
  <c r="T164" i="37"/>
  <c r="T165" i="37"/>
  <c r="T166" i="37"/>
  <c r="T28" i="37"/>
  <c r="T17" i="37"/>
  <c r="T51" i="37"/>
  <c r="T42" i="37"/>
  <c r="T167" i="37"/>
  <c r="T52" i="37"/>
  <c r="T46" i="37"/>
  <c r="T168" i="37"/>
  <c r="T169" i="37"/>
  <c r="T170" i="37"/>
  <c r="T171" i="37"/>
  <c r="T172" i="37"/>
  <c r="T173" i="37"/>
  <c r="T174" i="37"/>
  <c r="T61" i="37"/>
  <c r="T175" i="37"/>
  <c r="T176" i="37"/>
  <c r="T70" i="37"/>
  <c r="T177" i="37"/>
  <c r="T178" i="37"/>
  <c r="T18" i="37"/>
  <c r="T179" i="37"/>
  <c r="T180" i="37"/>
  <c r="T30" i="37"/>
  <c r="T62" i="37"/>
  <c r="T66" i="37"/>
  <c r="T181" i="37"/>
  <c r="T182" i="37"/>
  <c r="T183" i="37"/>
  <c r="T67" i="37"/>
  <c r="T184" i="37"/>
  <c r="T185" i="37"/>
  <c r="T186" i="37"/>
  <c r="T25" i="37"/>
  <c r="T187" i="37"/>
  <c r="T188" i="37"/>
  <c r="T189" i="37"/>
  <c r="T190" i="37"/>
  <c r="T26" i="37"/>
  <c r="T27" i="37"/>
  <c r="T191" i="37"/>
  <c r="T192" i="37"/>
  <c r="T193" i="37"/>
  <c r="T194" i="37"/>
  <c r="T195" i="37"/>
  <c r="T196" i="37"/>
  <c r="T197" i="37"/>
  <c r="T198" i="37"/>
  <c r="T199" i="37"/>
  <c r="T200" i="37"/>
  <c r="T201" i="37"/>
  <c r="T202" i="37"/>
  <c r="T203" i="37"/>
  <c r="T204" i="37"/>
  <c r="T205" i="37"/>
  <c r="T206" i="37"/>
  <c r="T207" i="37"/>
  <c r="T208" i="37"/>
  <c r="T209" i="37"/>
  <c r="T210" i="37"/>
  <c r="T211" i="37"/>
  <c r="T40" i="37"/>
  <c r="T68" i="37"/>
  <c r="T31" i="37"/>
  <c r="T212" i="37"/>
  <c r="T213" i="37"/>
  <c r="S34" i="37"/>
  <c r="S79" i="37"/>
  <c r="S13" i="37"/>
  <c r="S80" i="37"/>
  <c r="S81" i="37"/>
  <c r="S82" i="37"/>
  <c r="S83" i="37"/>
  <c r="S14" i="37"/>
  <c r="S84" i="37"/>
  <c r="S85" i="37"/>
  <c r="S32" i="37"/>
  <c r="S86" i="37"/>
  <c r="S12" i="37"/>
  <c r="S87" i="37"/>
  <c r="S53" i="37"/>
  <c r="S88" i="37"/>
  <c r="S15" i="37"/>
  <c r="S89" i="37"/>
  <c r="S90" i="37"/>
  <c r="S91" i="37"/>
  <c r="S19" i="37"/>
  <c r="S92" i="37"/>
  <c r="S36" i="37"/>
  <c r="S93" i="37"/>
  <c r="S71" i="37"/>
  <c r="S37" i="37"/>
  <c r="S48" i="37"/>
  <c r="S35" i="37"/>
  <c r="S94" i="37"/>
  <c r="S95" i="37"/>
  <c r="S96" i="37"/>
  <c r="S97" i="37"/>
  <c r="S38" i="37"/>
  <c r="S98" i="37"/>
  <c r="S99" i="37"/>
  <c r="S100" i="37"/>
  <c r="S101" i="37"/>
  <c r="S102" i="37"/>
  <c r="S103" i="37"/>
  <c r="S20" i="37"/>
  <c r="S104" i="37"/>
  <c r="S105" i="37"/>
  <c r="S75" i="37"/>
  <c r="S76" i="37"/>
  <c r="S106" i="37"/>
  <c r="S107" i="37"/>
  <c r="S54" i="37"/>
  <c r="S108" i="37"/>
  <c r="S109" i="37"/>
  <c r="S110" i="37"/>
  <c r="S77" i="37"/>
  <c r="S69" i="37"/>
  <c r="S111" i="37"/>
  <c r="S64" i="37"/>
  <c r="S55" i="37"/>
  <c r="S47" i="37"/>
  <c r="S112" i="37"/>
  <c r="S43" i="37"/>
  <c r="S44" i="37"/>
  <c r="S21" i="37"/>
  <c r="S56" i="37"/>
  <c r="S113" i="37"/>
  <c r="S57" i="37"/>
  <c r="S114" i="37"/>
  <c r="S58" i="37"/>
  <c r="S23" i="37"/>
  <c r="S115" i="37"/>
  <c r="S116" i="37"/>
  <c r="S65" i="37"/>
  <c r="S78" i="37"/>
  <c r="S117" i="37"/>
  <c r="S72" i="37"/>
  <c r="S118" i="37"/>
  <c r="S119" i="37"/>
  <c r="S120" i="37"/>
  <c r="S121" i="37"/>
  <c r="S122" i="37"/>
  <c r="S123" i="37"/>
  <c r="S124" i="37"/>
  <c r="S24" i="37"/>
  <c r="S125" i="37"/>
  <c r="S73" i="37"/>
  <c r="S126" i="37"/>
  <c r="S127" i="37"/>
  <c r="S29" i="37"/>
  <c r="S128" i="37"/>
  <c r="S129" i="37"/>
  <c r="S130" i="37"/>
  <c r="S131" i="37"/>
  <c r="S39" i="37"/>
  <c r="S132" i="37"/>
  <c r="S133" i="37"/>
  <c r="S59" i="37"/>
  <c r="S134" i="37"/>
  <c r="S135" i="37"/>
  <c r="S74" i="37"/>
  <c r="S49" i="37"/>
  <c r="S136" i="37"/>
  <c r="S137" i="37"/>
  <c r="S139" i="37"/>
  <c r="S140" i="37"/>
  <c r="S141" i="37"/>
  <c r="S41" i="37"/>
  <c r="S142" i="37"/>
  <c r="S143" i="37"/>
  <c r="S144" i="37"/>
  <c r="S145" i="37"/>
  <c r="S45" i="37"/>
  <c r="S33" i="37"/>
  <c r="S146" i="37"/>
  <c r="S147" i="37"/>
  <c r="S60" i="37"/>
  <c r="S148" i="37"/>
  <c r="S149" i="37"/>
  <c r="S150" i="37"/>
  <c r="S151" i="37"/>
  <c r="S152" i="37"/>
  <c r="S153" i="37"/>
  <c r="S154" i="37"/>
  <c r="S155" i="37"/>
  <c r="S156" i="37"/>
  <c r="S157" i="37"/>
  <c r="S63" i="37"/>
  <c r="S159" i="37"/>
  <c r="S160" i="37"/>
  <c r="S50" i="37"/>
  <c r="S161" i="37"/>
  <c r="S162" i="37"/>
  <c r="S163" i="37"/>
  <c r="S164" i="37"/>
  <c r="S165" i="37"/>
  <c r="S166" i="37"/>
  <c r="S28" i="37"/>
  <c r="S17" i="37"/>
  <c r="S51" i="37"/>
  <c r="S42" i="37"/>
  <c r="S167" i="37"/>
  <c r="S52" i="37"/>
  <c r="S46" i="37"/>
  <c r="S168" i="37"/>
  <c r="S169" i="37"/>
  <c r="S170" i="37"/>
  <c r="S171" i="37"/>
  <c r="S172" i="37"/>
  <c r="S173" i="37"/>
  <c r="S174" i="37"/>
  <c r="S61" i="37"/>
  <c r="S175" i="37"/>
  <c r="S176" i="37"/>
  <c r="S70" i="37"/>
  <c r="S177" i="37"/>
  <c r="S178" i="37"/>
  <c r="S18" i="37"/>
  <c r="S179" i="37"/>
  <c r="S180" i="37"/>
  <c r="S62" i="37"/>
  <c r="S66" i="37"/>
  <c r="S181" i="37"/>
  <c r="S182" i="37"/>
  <c r="S183" i="37"/>
  <c r="S67" i="37"/>
  <c r="S184" i="37"/>
  <c r="S185" i="37"/>
  <c r="S186" i="37"/>
  <c r="S25" i="37"/>
  <c r="S187" i="37"/>
  <c r="S188" i="37"/>
  <c r="S189" i="37"/>
  <c r="S190" i="37"/>
  <c r="S26" i="37"/>
  <c r="S27" i="37"/>
  <c r="S191" i="37"/>
  <c r="S192" i="37"/>
  <c r="S193" i="37"/>
  <c r="S194" i="37"/>
  <c r="S195" i="37"/>
  <c r="S196" i="37"/>
  <c r="S197" i="37"/>
  <c r="S198" i="37"/>
  <c r="S199" i="37"/>
  <c r="S200" i="37"/>
  <c r="S201" i="37"/>
  <c r="S202" i="37"/>
  <c r="S203" i="37"/>
  <c r="S204" i="37"/>
  <c r="S205" i="37"/>
  <c r="S206" i="37"/>
  <c r="S207" i="37"/>
  <c r="S208" i="37"/>
  <c r="S209" i="37"/>
  <c r="S210" i="37"/>
  <c r="S211" i="37"/>
  <c r="S68" i="37"/>
  <c r="S31" i="37"/>
  <c r="S212" i="37"/>
  <c r="S213" i="37"/>
  <c r="R34" i="37"/>
  <c r="R79" i="37"/>
  <c r="R13" i="37"/>
  <c r="R80" i="37"/>
  <c r="R81" i="37"/>
  <c r="R82" i="37"/>
  <c r="R83" i="37"/>
  <c r="R14" i="37"/>
  <c r="R84" i="37"/>
  <c r="R85" i="37"/>
  <c r="R86" i="37"/>
  <c r="R87" i="37"/>
  <c r="R53" i="37"/>
  <c r="R88" i="37"/>
  <c r="R15" i="37"/>
  <c r="R89" i="37"/>
  <c r="R90" i="37"/>
  <c r="R91" i="37"/>
  <c r="R19" i="37"/>
  <c r="R92" i="37"/>
  <c r="R36" i="37"/>
  <c r="R93" i="37"/>
  <c r="R71" i="37"/>
  <c r="R37" i="37"/>
  <c r="R35" i="37"/>
  <c r="R94" i="37"/>
  <c r="R96" i="37"/>
  <c r="R97" i="37"/>
  <c r="R38" i="37"/>
  <c r="R98" i="37"/>
  <c r="R99" i="37"/>
  <c r="R100" i="37"/>
  <c r="R101" i="37"/>
  <c r="R102" i="37"/>
  <c r="R103" i="37"/>
  <c r="R104" i="37"/>
  <c r="R105" i="37"/>
  <c r="R75" i="37"/>
  <c r="R76" i="37"/>
  <c r="R106" i="37"/>
  <c r="R107" i="37"/>
  <c r="R54" i="37"/>
  <c r="R108" i="37"/>
  <c r="R109" i="37"/>
  <c r="R110" i="37"/>
  <c r="R77" i="37"/>
  <c r="R69" i="37"/>
  <c r="R111" i="37"/>
  <c r="R64" i="37"/>
  <c r="R55" i="37"/>
  <c r="R112" i="37"/>
  <c r="R43" i="37"/>
  <c r="R44" i="37"/>
  <c r="R21" i="37"/>
  <c r="R56" i="37"/>
  <c r="R22" i="37"/>
  <c r="R113" i="37"/>
  <c r="R57" i="37"/>
  <c r="R114" i="37"/>
  <c r="R58" i="37"/>
  <c r="R23" i="37"/>
  <c r="R115" i="37"/>
  <c r="R116" i="37"/>
  <c r="R65" i="37"/>
  <c r="R78" i="37"/>
  <c r="R117" i="37"/>
  <c r="R72" i="37"/>
  <c r="R118" i="37"/>
  <c r="R119" i="37"/>
  <c r="R120" i="37"/>
  <c r="R121" i="37"/>
  <c r="R122" i="37"/>
  <c r="R123" i="37"/>
  <c r="R124" i="37"/>
  <c r="R24" i="37"/>
  <c r="R125" i="37"/>
  <c r="R73" i="37"/>
  <c r="R126" i="37"/>
  <c r="R127" i="37"/>
  <c r="R29" i="37"/>
  <c r="R128" i="37"/>
  <c r="R129" i="37"/>
  <c r="R130" i="37"/>
  <c r="R131" i="37"/>
  <c r="R39" i="37"/>
  <c r="R132" i="37"/>
  <c r="R133" i="37"/>
  <c r="R59" i="37"/>
  <c r="R134" i="37"/>
  <c r="R135" i="37"/>
  <c r="R74" i="37"/>
  <c r="R136" i="37"/>
  <c r="R137" i="37"/>
  <c r="R138" i="37"/>
  <c r="R139" i="37"/>
  <c r="R140" i="37"/>
  <c r="R141" i="37"/>
  <c r="R142" i="37"/>
  <c r="R143" i="37"/>
  <c r="R144" i="37"/>
  <c r="R145" i="37"/>
  <c r="R45" i="37"/>
  <c r="R33" i="37"/>
  <c r="R146" i="37"/>
  <c r="R147" i="37"/>
  <c r="R60" i="37"/>
  <c r="R148" i="37"/>
  <c r="R149" i="37"/>
  <c r="R150" i="37"/>
  <c r="R151" i="37"/>
  <c r="R152" i="37"/>
  <c r="R153" i="37"/>
  <c r="R154" i="37"/>
  <c r="R155" i="37"/>
  <c r="R156" i="37"/>
  <c r="R157" i="37"/>
  <c r="R158" i="37"/>
  <c r="R63" i="37"/>
  <c r="R159" i="37"/>
  <c r="R160" i="37"/>
  <c r="R50" i="37"/>
  <c r="R161" i="37"/>
  <c r="R162" i="37"/>
  <c r="R163" i="37"/>
  <c r="R164" i="37"/>
  <c r="R165" i="37"/>
  <c r="R166" i="37"/>
  <c r="R28" i="37"/>
  <c r="R17" i="37"/>
  <c r="R51" i="37"/>
  <c r="R42" i="37"/>
  <c r="R167" i="37"/>
  <c r="R52" i="37"/>
  <c r="R46" i="37"/>
  <c r="R168" i="37"/>
  <c r="R169" i="37"/>
  <c r="R170" i="37"/>
  <c r="R171" i="37"/>
  <c r="R172" i="37"/>
  <c r="R173" i="37"/>
  <c r="R174" i="37"/>
  <c r="R61" i="37"/>
  <c r="R175" i="37"/>
  <c r="R176" i="37"/>
  <c r="R70" i="37"/>
  <c r="R177" i="37"/>
  <c r="R178" i="37"/>
  <c r="R18" i="37"/>
  <c r="R179" i="37"/>
  <c r="R180" i="37"/>
  <c r="R30" i="37"/>
  <c r="R62" i="37"/>
  <c r="R66" i="37"/>
  <c r="R181" i="37"/>
  <c r="R182" i="37"/>
  <c r="R183" i="37"/>
  <c r="R67" i="37"/>
  <c r="R184" i="37"/>
  <c r="R185" i="37"/>
  <c r="R186" i="37"/>
  <c r="R25" i="37"/>
  <c r="R187" i="37"/>
  <c r="R188" i="37"/>
  <c r="R189" i="37"/>
  <c r="R190" i="37"/>
  <c r="R26" i="37"/>
  <c r="R27" i="37"/>
  <c r="R191" i="37"/>
  <c r="R192" i="37"/>
  <c r="R193" i="37"/>
  <c r="R194" i="37"/>
  <c r="R195" i="37"/>
  <c r="R196" i="37"/>
  <c r="R197" i="37"/>
  <c r="R198" i="37"/>
  <c r="R199" i="37"/>
  <c r="R200" i="37"/>
  <c r="R201" i="37"/>
  <c r="R202" i="37"/>
  <c r="R203" i="37"/>
  <c r="R204" i="37"/>
  <c r="R205" i="37"/>
  <c r="R206" i="37"/>
  <c r="R207" i="37"/>
  <c r="R208" i="37"/>
  <c r="R209" i="37"/>
  <c r="R210" i="37"/>
  <c r="R211" i="37"/>
  <c r="R40" i="37"/>
  <c r="R68" i="37"/>
  <c r="R31" i="37"/>
  <c r="R212" i="37"/>
  <c r="R213" i="37"/>
  <c r="Q34" i="37"/>
  <c r="Q79" i="37"/>
  <c r="Q13" i="37"/>
  <c r="Q80" i="37"/>
  <c r="Q81" i="37"/>
  <c r="Q82" i="37"/>
  <c r="Q83" i="37"/>
  <c r="Q14" i="37"/>
  <c r="Q84" i="37"/>
  <c r="Q85" i="37"/>
  <c r="Q32" i="37"/>
  <c r="Q86" i="37"/>
  <c r="Q12" i="37"/>
  <c r="Q87" i="37"/>
  <c r="Q53" i="37"/>
  <c r="Q88" i="37"/>
  <c r="Q15" i="37"/>
  <c r="Q89" i="37"/>
  <c r="Q90" i="37"/>
  <c r="Q91" i="37"/>
  <c r="Q19" i="37"/>
  <c r="Q92" i="37"/>
  <c r="Q36" i="37"/>
  <c r="Q93" i="37"/>
  <c r="Q71" i="37"/>
  <c r="Q37" i="37"/>
  <c r="Q48" i="37"/>
  <c r="Q35" i="37"/>
  <c r="Q94" i="37"/>
  <c r="Q95" i="37"/>
  <c r="Q96" i="37"/>
  <c r="Q97" i="37"/>
  <c r="Q38" i="37"/>
  <c r="Q98" i="37"/>
  <c r="Q99" i="37"/>
  <c r="Q100" i="37"/>
  <c r="Q101" i="37"/>
  <c r="Q102" i="37"/>
  <c r="Q103" i="37"/>
  <c r="Q20" i="37"/>
  <c r="Q104" i="37"/>
  <c r="Q105" i="37"/>
  <c r="Q75" i="37"/>
  <c r="Q76" i="37"/>
  <c r="Q106" i="37"/>
  <c r="Q107" i="37"/>
  <c r="Q54" i="37"/>
  <c r="Q108" i="37"/>
  <c r="Q109" i="37"/>
  <c r="Q110" i="37"/>
  <c r="Q77" i="37"/>
  <c r="Q69" i="37"/>
  <c r="Q111" i="37"/>
  <c r="Q64" i="37"/>
  <c r="Q55" i="37"/>
  <c r="Q47" i="37"/>
  <c r="Q112" i="37"/>
  <c r="Q21" i="37"/>
  <c r="Q56" i="37"/>
  <c r="Q22" i="37"/>
  <c r="Q113" i="37"/>
  <c r="Q57" i="37"/>
  <c r="Q114" i="37"/>
  <c r="Q58" i="37"/>
  <c r="Q23" i="37"/>
  <c r="Q115" i="37"/>
  <c r="Q116" i="37"/>
  <c r="Q65" i="37"/>
  <c r="Q78" i="37"/>
  <c r="Q117" i="37"/>
  <c r="Q72" i="37"/>
  <c r="Q118" i="37"/>
  <c r="Q119" i="37"/>
  <c r="Q120" i="37"/>
  <c r="Q121" i="37"/>
  <c r="Q122" i="37"/>
  <c r="Q123" i="37"/>
  <c r="Q124" i="37"/>
  <c r="Q24" i="37"/>
  <c r="Q125" i="37"/>
  <c r="Q73" i="37"/>
  <c r="Q126" i="37"/>
  <c r="Q127" i="37"/>
  <c r="Q29" i="37"/>
  <c r="Q128" i="37"/>
  <c r="Q129" i="37"/>
  <c r="Q130" i="37"/>
  <c r="Q131" i="37"/>
  <c r="Q39" i="37"/>
  <c r="Q132" i="37"/>
  <c r="Q133" i="37"/>
  <c r="Q59" i="37"/>
  <c r="Q134" i="37"/>
  <c r="Q135" i="37"/>
  <c r="Q74" i="37"/>
  <c r="Q49" i="37"/>
  <c r="Q136" i="37"/>
  <c r="Q137" i="37"/>
  <c r="Q16" i="37"/>
  <c r="Q138" i="37"/>
  <c r="Q139" i="37"/>
  <c r="Q140" i="37"/>
  <c r="Q141" i="37"/>
  <c r="Q41" i="37"/>
  <c r="Q142" i="37"/>
  <c r="Q143" i="37"/>
  <c r="Q144" i="37"/>
  <c r="Q145" i="37"/>
  <c r="Q33" i="37"/>
  <c r="Q146" i="37"/>
  <c r="Q147" i="37"/>
  <c r="Q60" i="37"/>
  <c r="Q148" i="37"/>
  <c r="Q149" i="37"/>
  <c r="Q150" i="37"/>
  <c r="Q151" i="37"/>
  <c r="Q152" i="37"/>
  <c r="Q153" i="37"/>
  <c r="Q154" i="37"/>
  <c r="Q155" i="37"/>
  <c r="Q156" i="37"/>
  <c r="Q157" i="37"/>
  <c r="Q158" i="37"/>
  <c r="Q63" i="37"/>
  <c r="Q159" i="37"/>
  <c r="Q160" i="37"/>
  <c r="Q50" i="37"/>
  <c r="Q161" i="37"/>
  <c r="Q162" i="37"/>
  <c r="Q163" i="37"/>
  <c r="Q164" i="37"/>
  <c r="Q165" i="37"/>
  <c r="Q166" i="37"/>
  <c r="Q17" i="37"/>
  <c r="Q51" i="37"/>
  <c r="Q42" i="37"/>
  <c r="Q167" i="37"/>
  <c r="Q52" i="37"/>
  <c r="Q168" i="37"/>
  <c r="Q169" i="37"/>
  <c r="Q170" i="37"/>
  <c r="Q171" i="37"/>
  <c r="Q172" i="37"/>
  <c r="Q173" i="37"/>
  <c r="Q174" i="37"/>
  <c r="Q61" i="37"/>
  <c r="Q175" i="37"/>
  <c r="Q176" i="37"/>
  <c r="Q70" i="37"/>
  <c r="Q177" i="37"/>
  <c r="Q178" i="37"/>
  <c r="Q18" i="37"/>
  <c r="Q179" i="37"/>
  <c r="Q180" i="37"/>
  <c r="Q30" i="37"/>
  <c r="Q62" i="37"/>
  <c r="Q66" i="37"/>
  <c r="Q181" i="37"/>
  <c r="Q182" i="37"/>
  <c r="Q183" i="37"/>
  <c r="Q67" i="37"/>
  <c r="Q184" i="37"/>
  <c r="Q185" i="37"/>
  <c r="Q186" i="37"/>
  <c r="Q25" i="37"/>
  <c r="Q187" i="37"/>
  <c r="Q188" i="37"/>
  <c r="Q189" i="37"/>
  <c r="Q190" i="37"/>
  <c r="Q26" i="37"/>
  <c r="Q27" i="37"/>
  <c r="Q191" i="37"/>
  <c r="Q192" i="37"/>
  <c r="Q193" i="37"/>
  <c r="Q194" i="37"/>
  <c r="Q195" i="37"/>
  <c r="Q196" i="37"/>
  <c r="Q197" i="37"/>
  <c r="Q198" i="37"/>
  <c r="Q199" i="37"/>
  <c r="Q200" i="37"/>
  <c r="Q201" i="37"/>
  <c r="Q202" i="37"/>
  <c r="Q203" i="37"/>
  <c r="Q204" i="37"/>
  <c r="Q205" i="37"/>
  <c r="Q206" i="37"/>
  <c r="Q207" i="37"/>
  <c r="Q208" i="37"/>
  <c r="Q209" i="37"/>
  <c r="Q210" i="37"/>
  <c r="Q211" i="37"/>
  <c r="Q40" i="37"/>
  <c r="Q68" i="37"/>
  <c r="Q31" i="37"/>
  <c r="Q212" i="37"/>
  <c r="Q213" i="37"/>
  <c r="P79" i="37"/>
  <c r="P13" i="37"/>
  <c r="P80" i="37"/>
  <c r="P81" i="37"/>
  <c r="P82" i="37"/>
  <c r="P83" i="37"/>
  <c r="P14" i="37"/>
  <c r="P84" i="37"/>
  <c r="P85" i="37"/>
  <c r="P32" i="37"/>
  <c r="P86" i="37"/>
  <c r="P12" i="37"/>
  <c r="P87" i="37"/>
  <c r="P88" i="37"/>
  <c r="P15" i="37"/>
  <c r="P89" i="37"/>
  <c r="P90" i="37"/>
  <c r="P91" i="37"/>
  <c r="P19" i="37"/>
  <c r="P92" i="37"/>
  <c r="P36" i="37"/>
  <c r="P93" i="37"/>
  <c r="P71" i="37"/>
  <c r="P37" i="37"/>
  <c r="P48" i="37"/>
  <c r="P94" i="37"/>
  <c r="P95" i="37"/>
  <c r="P96" i="37"/>
  <c r="P97" i="37"/>
  <c r="P38" i="37"/>
  <c r="P98" i="37"/>
  <c r="P99" i="37"/>
  <c r="P100" i="37"/>
  <c r="P101" i="37"/>
  <c r="P102" i="37"/>
  <c r="P103" i="37"/>
  <c r="P20" i="37"/>
  <c r="P104" i="37"/>
  <c r="P105" i="37"/>
  <c r="P75" i="37"/>
  <c r="P76" i="37"/>
  <c r="P106" i="37"/>
  <c r="P107" i="37"/>
  <c r="P54" i="37"/>
  <c r="P108" i="37"/>
  <c r="P109" i="37"/>
  <c r="P110" i="37"/>
  <c r="P77" i="37"/>
  <c r="P69" i="37"/>
  <c r="P111" i="37"/>
  <c r="P64" i="37"/>
  <c r="P47" i="37"/>
  <c r="P112" i="37"/>
  <c r="P44" i="37"/>
  <c r="P21" i="37"/>
  <c r="P22" i="37"/>
  <c r="P113" i="37"/>
  <c r="P114" i="37"/>
  <c r="P23" i="37"/>
  <c r="P115" i="37"/>
  <c r="P116" i="37"/>
  <c r="P65" i="37"/>
  <c r="P78" i="37"/>
  <c r="P117" i="37"/>
  <c r="P72" i="37"/>
  <c r="P118" i="37"/>
  <c r="P119" i="37"/>
  <c r="P120" i="37"/>
  <c r="P121" i="37"/>
  <c r="P122" i="37"/>
  <c r="P123" i="37"/>
  <c r="P124" i="37"/>
  <c r="P24" i="37"/>
  <c r="P125" i="37"/>
  <c r="P73" i="37"/>
  <c r="P126" i="37"/>
  <c r="P127" i="37"/>
  <c r="P29" i="37"/>
  <c r="P128" i="37"/>
  <c r="P129" i="37"/>
  <c r="P130" i="37"/>
  <c r="P131" i="37"/>
  <c r="P39" i="37"/>
  <c r="P132" i="37"/>
  <c r="P133" i="37"/>
  <c r="P59" i="37"/>
  <c r="P134" i="37"/>
  <c r="P135" i="37"/>
  <c r="P74" i="37"/>
  <c r="P49" i="37"/>
  <c r="P136" i="37"/>
  <c r="P137" i="37"/>
  <c r="P16" i="37"/>
  <c r="P138" i="37"/>
  <c r="P139" i="37"/>
  <c r="P140" i="37"/>
  <c r="P141" i="37"/>
  <c r="P41" i="37"/>
  <c r="P142" i="37"/>
  <c r="P143" i="37"/>
  <c r="P144" i="37"/>
  <c r="P145" i="37"/>
  <c r="P45" i="37"/>
  <c r="P146" i="37"/>
  <c r="P147" i="37"/>
  <c r="P60" i="37"/>
  <c r="P148" i="37"/>
  <c r="P149" i="37"/>
  <c r="P150" i="37"/>
  <c r="P151" i="37"/>
  <c r="P152" i="37"/>
  <c r="P153" i="37"/>
  <c r="P154" i="37"/>
  <c r="P155" i="37"/>
  <c r="P156" i="37"/>
  <c r="P157" i="37"/>
  <c r="P158" i="37"/>
  <c r="P159" i="37"/>
  <c r="P160" i="37"/>
  <c r="P50" i="37"/>
  <c r="P161" i="37"/>
  <c r="P162" i="37"/>
  <c r="P163" i="37"/>
  <c r="P164" i="37"/>
  <c r="P165" i="37"/>
  <c r="P166" i="37"/>
  <c r="P17" i="37"/>
  <c r="P51" i="37"/>
  <c r="P42" i="37"/>
  <c r="P167" i="37"/>
  <c r="P52" i="37"/>
  <c r="P46" i="37"/>
  <c r="P168" i="37"/>
  <c r="P169" i="37"/>
  <c r="P170" i="37"/>
  <c r="P171" i="37"/>
  <c r="P172" i="37"/>
  <c r="P173" i="37"/>
  <c r="P174" i="37"/>
  <c r="P61" i="37"/>
  <c r="P175" i="37"/>
  <c r="P176" i="37"/>
  <c r="P70" i="37"/>
  <c r="P177" i="37"/>
  <c r="P178" i="37"/>
  <c r="P18" i="37"/>
  <c r="P179" i="37"/>
  <c r="P180" i="37"/>
  <c r="P30" i="37"/>
  <c r="P66" i="37"/>
  <c r="P181" i="37"/>
  <c r="P182" i="37"/>
  <c r="P183" i="37"/>
  <c r="P67" i="37"/>
  <c r="P184" i="37"/>
  <c r="P185" i="37"/>
  <c r="P186" i="37"/>
  <c r="P25" i="37"/>
  <c r="P187" i="37"/>
  <c r="P188" i="37"/>
  <c r="P189" i="37"/>
  <c r="P190" i="37"/>
  <c r="P26" i="37"/>
  <c r="P27" i="37"/>
  <c r="P191" i="37"/>
  <c r="P192" i="37"/>
  <c r="P193" i="37"/>
  <c r="P194" i="37"/>
  <c r="P195" i="37"/>
  <c r="P196" i="37"/>
  <c r="P197" i="37"/>
  <c r="P198" i="37"/>
  <c r="P199" i="37"/>
  <c r="P200" i="37"/>
  <c r="P201" i="37"/>
  <c r="P202" i="37"/>
  <c r="P203" i="37"/>
  <c r="P204" i="37"/>
  <c r="P205" i="37"/>
  <c r="P206" i="37"/>
  <c r="P207" i="37"/>
  <c r="P208" i="37"/>
  <c r="P209" i="37"/>
  <c r="P210" i="37"/>
  <c r="P211" i="37"/>
  <c r="P40" i="37"/>
  <c r="P68" i="37"/>
  <c r="P31" i="37"/>
  <c r="P212" i="37"/>
  <c r="P213" i="37"/>
  <c r="O79" i="37"/>
  <c r="O80" i="37"/>
  <c r="O81" i="37"/>
  <c r="O82" i="37"/>
  <c r="O83" i="37"/>
  <c r="O14" i="37"/>
  <c r="O84" i="37"/>
  <c r="O85" i="37"/>
  <c r="O32" i="37"/>
  <c r="O86" i="37"/>
  <c r="O12" i="37"/>
  <c r="O87" i="37"/>
  <c r="O53" i="37"/>
  <c r="O88" i="37"/>
  <c r="O15" i="37"/>
  <c r="O89" i="37"/>
  <c r="O90" i="37"/>
  <c r="O91" i="37"/>
  <c r="O19" i="37"/>
  <c r="O92" i="37"/>
  <c r="O36" i="37"/>
  <c r="O93" i="37"/>
  <c r="O71" i="37"/>
  <c r="O37" i="37"/>
  <c r="O48" i="37"/>
  <c r="O94" i="37"/>
  <c r="O95" i="37"/>
  <c r="O96" i="37"/>
  <c r="O97" i="37"/>
  <c r="O38" i="37"/>
  <c r="O98" i="37"/>
  <c r="O99" i="37"/>
  <c r="O100" i="37"/>
  <c r="O101" i="37"/>
  <c r="O102" i="37"/>
  <c r="O103" i="37"/>
  <c r="O20" i="37"/>
  <c r="O104" i="37"/>
  <c r="O105" i="37"/>
  <c r="O75" i="37"/>
  <c r="O76" i="37"/>
  <c r="O106" i="37"/>
  <c r="O107" i="37"/>
  <c r="O108" i="37"/>
  <c r="O109" i="37"/>
  <c r="O110" i="37"/>
  <c r="O77" i="37"/>
  <c r="O69" i="37"/>
  <c r="O111" i="37"/>
  <c r="O64" i="37"/>
  <c r="O55" i="37"/>
  <c r="O47" i="37"/>
  <c r="O112" i="37"/>
  <c r="O43" i="37"/>
  <c r="O21" i="37"/>
  <c r="O56" i="37"/>
  <c r="O22" i="37"/>
  <c r="O113" i="37"/>
  <c r="O57" i="37"/>
  <c r="O114" i="37"/>
  <c r="O58" i="37"/>
  <c r="O23" i="37"/>
  <c r="O115" i="37"/>
  <c r="O116" i="37"/>
  <c r="O65" i="37"/>
  <c r="O78" i="37"/>
  <c r="O117" i="37"/>
  <c r="O72" i="37"/>
  <c r="O120" i="37"/>
  <c r="O121" i="37"/>
  <c r="O122" i="37"/>
  <c r="O123" i="37"/>
  <c r="O124" i="37"/>
  <c r="O24" i="37"/>
  <c r="O125" i="37"/>
  <c r="O73" i="37"/>
  <c r="O126" i="37"/>
  <c r="O127" i="37"/>
  <c r="O29" i="37"/>
  <c r="O128" i="37"/>
  <c r="O129" i="37"/>
  <c r="O130" i="37"/>
  <c r="O131" i="37"/>
  <c r="O39" i="37"/>
  <c r="O132" i="37"/>
  <c r="O133" i="37"/>
  <c r="O134" i="37"/>
  <c r="O135" i="37"/>
  <c r="O74" i="37"/>
  <c r="O49" i="37"/>
  <c r="O136" i="37"/>
  <c r="O137" i="37"/>
  <c r="O16" i="37"/>
  <c r="O138" i="37"/>
  <c r="O139" i="37"/>
  <c r="O140" i="37"/>
  <c r="O141" i="37"/>
  <c r="O41" i="37"/>
  <c r="O142" i="37"/>
  <c r="O143" i="37"/>
  <c r="O144" i="37"/>
  <c r="O145" i="37"/>
  <c r="O45" i="37"/>
  <c r="O33" i="37"/>
  <c r="O146" i="37"/>
  <c r="O147" i="37"/>
  <c r="O148" i="37"/>
  <c r="O149" i="37"/>
  <c r="O150" i="37"/>
  <c r="O151" i="37"/>
  <c r="O152" i="37"/>
  <c r="O153" i="37"/>
  <c r="O154" i="37"/>
  <c r="O155" i="37"/>
  <c r="O156" i="37"/>
  <c r="O157" i="37"/>
  <c r="O158" i="37"/>
  <c r="O159" i="37"/>
  <c r="O160" i="37"/>
  <c r="O161" i="37"/>
  <c r="O162" i="37"/>
  <c r="O163" i="37"/>
  <c r="O164" i="37"/>
  <c r="O165" i="37"/>
  <c r="O166" i="37"/>
  <c r="O28" i="37"/>
  <c r="O17" i="37"/>
  <c r="O42" i="37"/>
  <c r="O167" i="37"/>
  <c r="O46" i="37"/>
  <c r="O168" i="37"/>
  <c r="O169" i="37"/>
  <c r="O170" i="37"/>
  <c r="O171" i="37"/>
  <c r="O172" i="37"/>
  <c r="O173" i="37"/>
  <c r="O174" i="37"/>
  <c r="O175" i="37"/>
  <c r="O176" i="37"/>
  <c r="O70" i="37"/>
  <c r="O177" i="37"/>
  <c r="O178" i="37"/>
  <c r="O18" i="37"/>
  <c r="O179" i="37"/>
  <c r="O180" i="37"/>
  <c r="O30" i="37"/>
  <c r="O62" i="37"/>
  <c r="O66" i="37"/>
  <c r="O181" i="37"/>
  <c r="O182" i="37"/>
  <c r="O183" i="37"/>
  <c r="O67" i="37"/>
  <c r="O184" i="37"/>
  <c r="O185" i="37"/>
  <c r="O186" i="37"/>
  <c r="O25" i="37"/>
  <c r="O187" i="37"/>
  <c r="O188" i="37"/>
  <c r="O189" i="37"/>
  <c r="O190" i="37"/>
  <c r="O26" i="37"/>
  <c r="O27" i="37"/>
  <c r="O191" i="37"/>
  <c r="O192" i="37"/>
  <c r="O193" i="37"/>
  <c r="O194" i="37"/>
  <c r="O195" i="37"/>
  <c r="O196" i="37"/>
  <c r="O197" i="37"/>
  <c r="O198" i="37"/>
  <c r="O199" i="37"/>
  <c r="O200" i="37"/>
  <c r="O201" i="37"/>
  <c r="O202" i="37"/>
  <c r="O203" i="37"/>
  <c r="O204" i="37"/>
  <c r="O205" i="37"/>
  <c r="O206" i="37"/>
  <c r="O207" i="37"/>
  <c r="O208" i="37"/>
  <c r="O209" i="37"/>
  <c r="O210" i="37"/>
  <c r="O211" i="37"/>
  <c r="O40" i="37"/>
  <c r="O68" i="37"/>
  <c r="O31" i="37"/>
  <c r="O212" i="37"/>
  <c r="O213" i="37"/>
  <c r="N79" i="37" l="1"/>
  <c r="N13" i="37"/>
  <c r="N80" i="37"/>
  <c r="N81" i="37"/>
  <c r="N82" i="37"/>
  <c r="N83" i="37"/>
  <c r="N14" i="37"/>
  <c r="N84" i="37"/>
  <c r="N85" i="37"/>
  <c r="N32" i="37"/>
  <c r="N86" i="37"/>
  <c r="N12" i="37"/>
  <c r="N87" i="37"/>
  <c r="N53" i="37"/>
  <c r="N88" i="37"/>
  <c r="N15" i="37"/>
  <c r="N89" i="37"/>
  <c r="N90" i="37"/>
  <c r="N91" i="37"/>
  <c r="N19" i="37"/>
  <c r="N92" i="37"/>
  <c r="N93" i="37"/>
  <c r="N71" i="37"/>
  <c r="N37" i="37"/>
  <c r="N48" i="37"/>
  <c r="N94" i="37"/>
  <c r="N95" i="37"/>
  <c r="N96" i="37"/>
  <c r="N97" i="37"/>
  <c r="N38" i="37"/>
  <c r="N98" i="37"/>
  <c r="N99" i="37"/>
  <c r="N100" i="37"/>
  <c r="N101" i="37"/>
  <c r="N102" i="37"/>
  <c r="N103" i="37"/>
  <c r="N20" i="37"/>
  <c r="N104" i="37"/>
  <c r="N105" i="37"/>
  <c r="N75" i="37"/>
  <c r="N76" i="37"/>
  <c r="N106" i="37"/>
  <c r="N107" i="37"/>
  <c r="N54" i="37"/>
  <c r="N108" i="37"/>
  <c r="N109" i="37"/>
  <c r="N110" i="37"/>
  <c r="N77" i="37"/>
  <c r="N111" i="37"/>
  <c r="N55" i="37"/>
  <c r="N47" i="37"/>
  <c r="N112" i="37"/>
  <c r="N21" i="37"/>
  <c r="N56" i="37"/>
  <c r="N22" i="37"/>
  <c r="N113" i="37"/>
  <c r="N114" i="37"/>
  <c r="N58" i="37"/>
  <c r="N23" i="37"/>
  <c r="N115" i="37"/>
  <c r="N116" i="37"/>
  <c r="N78" i="37"/>
  <c r="N117" i="37"/>
  <c r="N72" i="37"/>
  <c r="N118" i="37"/>
  <c r="N119" i="37"/>
  <c r="N120" i="37"/>
  <c r="N121" i="37"/>
  <c r="N122" i="37"/>
  <c r="N123" i="37"/>
  <c r="N124" i="37"/>
  <c r="N24" i="37"/>
  <c r="N73" i="37"/>
  <c r="N126" i="37"/>
  <c r="N127" i="37"/>
  <c r="N29" i="37"/>
  <c r="N128" i="37"/>
  <c r="N129" i="37"/>
  <c r="N130" i="37"/>
  <c r="N131" i="37"/>
  <c r="N39" i="37"/>
  <c r="N132" i="37"/>
  <c r="N133" i="37"/>
  <c r="N59" i="37"/>
  <c r="N134" i="37"/>
  <c r="N135" i="37"/>
  <c r="N74" i="37"/>
  <c r="N49" i="37"/>
  <c r="N136" i="37"/>
  <c r="N137" i="37"/>
  <c r="N16" i="37"/>
  <c r="N138" i="37"/>
  <c r="N139" i="37"/>
  <c r="N140" i="37"/>
  <c r="N141" i="37"/>
  <c r="N41" i="37"/>
  <c r="N142" i="37"/>
  <c r="N143" i="37"/>
  <c r="N144" i="37"/>
  <c r="N145" i="37"/>
  <c r="N45" i="37"/>
  <c r="N146" i="37"/>
  <c r="N147" i="37"/>
  <c r="N60" i="37"/>
  <c r="N148" i="37"/>
  <c r="N149" i="37"/>
  <c r="N150" i="37"/>
  <c r="N151" i="37"/>
  <c r="N152" i="37"/>
  <c r="N153" i="37"/>
  <c r="N154" i="37"/>
  <c r="N155" i="37"/>
  <c r="N156" i="37"/>
  <c r="N158" i="37"/>
  <c r="N159" i="37"/>
  <c r="N160" i="37"/>
  <c r="N50" i="37"/>
  <c r="N161" i="37"/>
  <c r="N162" i="37"/>
  <c r="N163" i="37"/>
  <c r="N164" i="37"/>
  <c r="N165" i="37"/>
  <c r="N166" i="37"/>
  <c r="N17" i="37"/>
  <c r="N51" i="37"/>
  <c r="N42" i="37"/>
  <c r="N167" i="37"/>
  <c r="N52" i="37"/>
  <c r="N46" i="37"/>
  <c r="N168" i="37"/>
  <c r="N169" i="37"/>
  <c r="N170" i="37"/>
  <c r="N171" i="37"/>
  <c r="N172" i="37"/>
  <c r="N173" i="37"/>
  <c r="N174" i="37"/>
  <c r="N61" i="37"/>
  <c r="N175" i="37"/>
  <c r="N176" i="37"/>
  <c r="N70" i="37"/>
  <c r="N177" i="37"/>
  <c r="N178" i="37"/>
  <c r="N18" i="37"/>
  <c r="N179" i="37"/>
  <c r="N180" i="37"/>
  <c r="N30" i="37"/>
  <c r="N62" i="37"/>
  <c r="N181" i="37"/>
  <c r="N182" i="37"/>
  <c r="N183" i="37"/>
  <c r="N184" i="37"/>
  <c r="N185" i="37"/>
  <c r="N186" i="37"/>
  <c r="N25" i="37"/>
  <c r="N187" i="37"/>
  <c r="N188" i="37"/>
  <c r="N189" i="37"/>
  <c r="N190" i="37"/>
  <c r="N26" i="37"/>
  <c r="N27" i="37"/>
  <c r="N191" i="37"/>
  <c r="N192" i="37"/>
  <c r="N193" i="37"/>
  <c r="N194" i="37"/>
  <c r="N195" i="37"/>
  <c r="N196" i="37"/>
  <c r="N197" i="37"/>
  <c r="N198" i="37"/>
  <c r="N199" i="37"/>
  <c r="N200" i="37"/>
  <c r="N201" i="37"/>
  <c r="N202" i="37"/>
  <c r="N203" i="37"/>
  <c r="N204" i="37"/>
  <c r="N205" i="37"/>
  <c r="N206" i="37"/>
  <c r="N207" i="37"/>
  <c r="N208" i="37"/>
  <c r="N209" i="37"/>
  <c r="N210" i="37"/>
  <c r="N211" i="37"/>
  <c r="N40" i="37"/>
  <c r="N31" i="37"/>
  <c r="N212" i="37"/>
  <c r="N213" i="37"/>
  <c r="M79" i="37"/>
  <c r="M80" i="37"/>
  <c r="M81" i="37"/>
  <c r="M82" i="37"/>
  <c r="M83" i="37"/>
  <c r="M14" i="37"/>
  <c r="M84" i="37"/>
  <c r="M85" i="37"/>
  <c r="M32" i="37"/>
  <c r="M86" i="37"/>
  <c r="M12" i="37"/>
  <c r="M87" i="37"/>
  <c r="M53" i="37"/>
  <c r="M88" i="37"/>
  <c r="M15" i="37"/>
  <c r="M89" i="37"/>
  <c r="M90" i="37"/>
  <c r="M91" i="37"/>
  <c r="M19" i="37"/>
  <c r="M92" i="37"/>
  <c r="M36" i="37"/>
  <c r="M93" i="37"/>
  <c r="M37" i="37"/>
  <c r="M48" i="37"/>
  <c r="M94" i="37"/>
  <c r="M95" i="37"/>
  <c r="M96" i="37"/>
  <c r="M38" i="37"/>
  <c r="M98" i="37"/>
  <c r="M99" i="37"/>
  <c r="M100" i="37"/>
  <c r="M101" i="37"/>
  <c r="M102" i="37"/>
  <c r="M103" i="37"/>
  <c r="M20" i="37"/>
  <c r="M104" i="37"/>
  <c r="M105" i="37"/>
  <c r="M75" i="37"/>
  <c r="M76" i="37"/>
  <c r="M106" i="37"/>
  <c r="M107" i="37"/>
  <c r="M54" i="37"/>
  <c r="M108" i="37"/>
  <c r="M109" i="37"/>
  <c r="M110" i="37"/>
  <c r="M111" i="37"/>
  <c r="M64" i="37"/>
  <c r="M55" i="37"/>
  <c r="M47" i="37"/>
  <c r="M112" i="37"/>
  <c r="M21" i="37"/>
  <c r="M56" i="37"/>
  <c r="M22" i="37"/>
  <c r="M113" i="37"/>
  <c r="M57" i="37"/>
  <c r="M114" i="37"/>
  <c r="M58" i="37"/>
  <c r="M23" i="37"/>
  <c r="M115" i="37"/>
  <c r="M116" i="37"/>
  <c r="M65" i="37"/>
  <c r="M78" i="37"/>
  <c r="M117" i="37"/>
  <c r="M120" i="37"/>
  <c r="M121" i="37"/>
  <c r="M122" i="37"/>
  <c r="M123" i="37"/>
  <c r="M124" i="37"/>
  <c r="M24" i="37"/>
  <c r="M125" i="37"/>
  <c r="M73" i="37"/>
  <c r="M126" i="37"/>
  <c r="M127" i="37"/>
  <c r="M29" i="37"/>
  <c r="M128" i="37"/>
  <c r="M129" i="37"/>
  <c r="M130" i="37"/>
  <c r="M131" i="37"/>
  <c r="M39" i="37"/>
  <c r="M132" i="37"/>
  <c r="M133" i="37"/>
  <c r="M59" i="37"/>
  <c r="M134" i="37"/>
  <c r="M135" i="37"/>
  <c r="M49" i="37"/>
  <c r="M136" i="37"/>
  <c r="M137" i="37"/>
  <c r="M16" i="37"/>
  <c r="M138" i="37"/>
  <c r="M139" i="37"/>
  <c r="M140" i="37"/>
  <c r="M141" i="37"/>
  <c r="M41" i="37"/>
  <c r="M142" i="37"/>
  <c r="M143" i="37"/>
  <c r="M144" i="37"/>
  <c r="M145" i="37"/>
  <c r="M45" i="37"/>
  <c r="M146" i="37"/>
  <c r="M147" i="37"/>
  <c r="M60" i="37"/>
  <c r="M148" i="37"/>
  <c r="M149" i="37"/>
  <c r="M150" i="37"/>
  <c r="M151" i="37"/>
  <c r="M152" i="37"/>
  <c r="M153" i="37"/>
  <c r="M154" i="37"/>
  <c r="M155" i="37"/>
  <c r="M156" i="37"/>
  <c r="M157" i="37"/>
  <c r="M158" i="37"/>
  <c r="M159" i="37"/>
  <c r="M160" i="37"/>
  <c r="M161" i="37"/>
  <c r="M162" i="37"/>
  <c r="M163" i="37"/>
  <c r="M164" i="37"/>
  <c r="M165" i="37"/>
  <c r="M166" i="37"/>
  <c r="M28" i="37"/>
  <c r="M17" i="37"/>
  <c r="M42" i="37"/>
  <c r="M167" i="37"/>
  <c r="M46" i="37"/>
  <c r="M168" i="37"/>
  <c r="M169" i="37"/>
  <c r="M170" i="37"/>
  <c r="M171" i="37"/>
  <c r="M172" i="37"/>
  <c r="M173" i="37"/>
  <c r="M174" i="37"/>
  <c r="M175" i="37"/>
  <c r="M176" i="37"/>
  <c r="M177" i="37"/>
  <c r="M178" i="37"/>
  <c r="M18" i="37"/>
  <c r="M179" i="37"/>
  <c r="M180" i="37"/>
  <c r="M30" i="37"/>
  <c r="M62" i="37"/>
  <c r="M66" i="37"/>
  <c r="M181" i="37"/>
  <c r="M182" i="37"/>
  <c r="M183" i="37"/>
  <c r="M67" i="37"/>
  <c r="M184" i="37"/>
  <c r="M185" i="37"/>
  <c r="M186" i="37"/>
  <c r="M25" i="37"/>
  <c r="M187" i="37"/>
  <c r="M188" i="37"/>
  <c r="M189" i="37"/>
  <c r="M190" i="37"/>
  <c r="M26" i="37"/>
  <c r="M27" i="37"/>
  <c r="M191" i="37"/>
  <c r="M192" i="37"/>
  <c r="M193" i="37"/>
  <c r="M194" i="37"/>
  <c r="M195" i="37"/>
  <c r="M196" i="37"/>
  <c r="M197" i="37"/>
  <c r="M198" i="37"/>
  <c r="M199" i="37"/>
  <c r="M200" i="37"/>
  <c r="M201" i="37"/>
  <c r="M202" i="37"/>
  <c r="M203" i="37"/>
  <c r="M204" i="37"/>
  <c r="M205" i="37"/>
  <c r="M206" i="37"/>
  <c r="M207" i="37"/>
  <c r="M208" i="37"/>
  <c r="M209" i="37"/>
  <c r="M210" i="37"/>
  <c r="M211" i="37"/>
  <c r="M40" i="37"/>
  <c r="M68" i="37"/>
  <c r="M31" i="37"/>
  <c r="M212" i="37"/>
  <c r="M213" i="37"/>
  <c r="L34" i="37"/>
  <c r="L79" i="37"/>
  <c r="L13" i="37"/>
  <c r="L80" i="37"/>
  <c r="L81" i="37"/>
  <c r="L82" i="37"/>
  <c r="L83" i="37"/>
  <c r="L14" i="37"/>
  <c r="L84" i="37"/>
  <c r="L85" i="37"/>
  <c r="L32" i="37"/>
  <c r="L86" i="37"/>
  <c r="L12" i="37"/>
  <c r="L87" i="37"/>
  <c r="L53" i="37"/>
  <c r="L88" i="37"/>
  <c r="L15" i="37"/>
  <c r="L89" i="37"/>
  <c r="L90" i="37"/>
  <c r="L91" i="37"/>
  <c r="L19" i="37"/>
  <c r="L92" i="37"/>
  <c r="L36" i="37"/>
  <c r="L93" i="37"/>
  <c r="L37" i="37"/>
  <c r="L48" i="37"/>
  <c r="L35" i="37"/>
  <c r="L94" i="37"/>
  <c r="L95" i="37"/>
  <c r="L96" i="37"/>
  <c r="L97" i="37"/>
  <c r="L38" i="37"/>
  <c r="L98" i="37"/>
  <c r="L99" i="37"/>
  <c r="L100" i="37"/>
  <c r="L101" i="37"/>
  <c r="L102" i="37"/>
  <c r="L103" i="37"/>
  <c r="L20" i="37"/>
  <c r="L104" i="37"/>
  <c r="L105" i="37"/>
  <c r="L75" i="37"/>
  <c r="L76" i="37"/>
  <c r="L106" i="37"/>
  <c r="L107" i="37"/>
  <c r="L54" i="37"/>
  <c r="L108" i="37"/>
  <c r="L109" i="37"/>
  <c r="L110" i="37"/>
  <c r="L77" i="37"/>
  <c r="L69" i="37"/>
  <c r="L111" i="37"/>
  <c r="L64" i="37"/>
  <c r="L55" i="37"/>
  <c r="L47" i="37"/>
  <c r="L112" i="37"/>
  <c r="L43" i="37"/>
  <c r="L44" i="37"/>
  <c r="L21" i="37"/>
  <c r="L56" i="37"/>
  <c r="L22" i="37"/>
  <c r="L113" i="37"/>
  <c r="L57" i="37"/>
  <c r="L114" i="37"/>
  <c r="L58" i="37"/>
  <c r="L23" i="37"/>
  <c r="L115" i="37"/>
  <c r="L116" i="37"/>
  <c r="L65" i="37"/>
  <c r="L78" i="37"/>
  <c r="L117" i="37"/>
  <c r="L118" i="37"/>
  <c r="L119" i="37"/>
  <c r="L120" i="37"/>
  <c r="L121" i="37"/>
  <c r="L122" i="37"/>
  <c r="L123" i="37"/>
  <c r="L124" i="37"/>
  <c r="L24" i="37"/>
  <c r="L125" i="37"/>
  <c r="L126" i="37"/>
  <c r="L127" i="37"/>
  <c r="L29" i="37"/>
  <c r="L128" i="37"/>
  <c r="L129" i="37"/>
  <c r="L130" i="37"/>
  <c r="L131" i="37"/>
  <c r="L39" i="37"/>
  <c r="L132" i="37"/>
  <c r="L133" i="37"/>
  <c r="L59" i="37"/>
  <c r="L134" i="37"/>
  <c r="L135" i="37"/>
  <c r="L49" i="37"/>
  <c r="L136" i="37"/>
  <c r="L137" i="37"/>
  <c r="L16" i="37"/>
  <c r="L138" i="37"/>
  <c r="L139" i="37"/>
  <c r="L140" i="37"/>
  <c r="L141" i="37"/>
  <c r="L41" i="37"/>
  <c r="L142" i="37"/>
  <c r="L143" i="37"/>
  <c r="L144" i="37"/>
  <c r="L145" i="37"/>
  <c r="L45" i="37"/>
  <c r="L33" i="37"/>
  <c r="L146" i="37"/>
  <c r="L147" i="37"/>
  <c r="L60" i="37"/>
  <c r="L148" i="37"/>
  <c r="L149" i="37"/>
  <c r="L150" i="37"/>
  <c r="L151" i="37"/>
  <c r="L152" i="37"/>
  <c r="L153" i="37"/>
  <c r="L154" i="37"/>
  <c r="L155" i="37"/>
  <c r="L156" i="37"/>
  <c r="L157" i="37"/>
  <c r="L158" i="37"/>
  <c r="L63" i="37"/>
  <c r="L159" i="37"/>
  <c r="L160" i="37"/>
  <c r="L50" i="37"/>
  <c r="L161" i="37"/>
  <c r="L162" i="37"/>
  <c r="L163" i="37"/>
  <c r="L164" i="37"/>
  <c r="L165" i="37"/>
  <c r="L166" i="37"/>
  <c r="L28" i="37"/>
  <c r="L17" i="37"/>
  <c r="L51" i="37"/>
  <c r="L42" i="37"/>
  <c r="L167" i="37"/>
  <c r="L52" i="37"/>
  <c r="L46" i="37"/>
  <c r="L168" i="37"/>
  <c r="L169" i="37"/>
  <c r="L170" i="37"/>
  <c r="L171" i="37"/>
  <c r="L172" i="37"/>
  <c r="L173" i="37"/>
  <c r="L174" i="37"/>
  <c r="L61" i="37"/>
  <c r="L175" i="37"/>
  <c r="L176" i="37"/>
  <c r="L70" i="37"/>
  <c r="L177" i="37"/>
  <c r="L178" i="37"/>
  <c r="L18" i="37"/>
  <c r="L179" i="37"/>
  <c r="L180" i="37"/>
  <c r="L30" i="37"/>
  <c r="L62" i="37"/>
  <c r="L66" i="37"/>
  <c r="L181" i="37"/>
  <c r="L182" i="37"/>
  <c r="L183" i="37"/>
  <c r="L67" i="37"/>
  <c r="L184" i="37"/>
  <c r="L185" i="37"/>
  <c r="L186" i="37"/>
  <c r="L25" i="37"/>
  <c r="L187" i="37"/>
  <c r="L188" i="37"/>
  <c r="L189" i="37"/>
  <c r="L190" i="37"/>
  <c r="L26" i="37"/>
  <c r="L27" i="37"/>
  <c r="L191" i="37"/>
  <c r="L192" i="37"/>
  <c r="L193" i="37"/>
  <c r="L194" i="37"/>
  <c r="L195" i="37"/>
  <c r="L196" i="37"/>
  <c r="L197" i="37"/>
  <c r="L198" i="37"/>
  <c r="L199" i="37"/>
  <c r="L200" i="37"/>
  <c r="L201" i="37"/>
  <c r="L202" i="37"/>
  <c r="L203" i="37"/>
  <c r="L204" i="37"/>
  <c r="L205" i="37"/>
  <c r="L206" i="37"/>
  <c r="L207" i="37"/>
  <c r="L208" i="37"/>
  <c r="L209" i="37"/>
  <c r="L210" i="37"/>
  <c r="L211" i="37"/>
  <c r="L40" i="37"/>
  <c r="L68" i="37"/>
  <c r="L31" i="37"/>
  <c r="L212" i="37"/>
  <c r="L213" i="37"/>
  <c r="K34" i="37"/>
  <c r="K79" i="37"/>
  <c r="K13" i="37"/>
  <c r="K80" i="37"/>
  <c r="K81" i="37"/>
  <c r="K82" i="37"/>
  <c r="K83" i="37"/>
  <c r="K14" i="37"/>
  <c r="K84" i="37"/>
  <c r="K85" i="37"/>
  <c r="K32" i="37"/>
  <c r="K86" i="37"/>
  <c r="K12" i="37"/>
  <c r="K87" i="37"/>
  <c r="K53" i="37"/>
  <c r="K88" i="37"/>
  <c r="K15" i="37"/>
  <c r="K89" i="37"/>
  <c r="K90" i="37"/>
  <c r="K91" i="37"/>
  <c r="K19" i="37"/>
  <c r="K92" i="37"/>
  <c r="K36" i="37"/>
  <c r="K93" i="37"/>
  <c r="K71" i="37"/>
  <c r="K37" i="37"/>
  <c r="K48" i="37"/>
  <c r="K35" i="37"/>
  <c r="K94" i="37"/>
  <c r="K95" i="37"/>
  <c r="K96" i="37"/>
  <c r="K97" i="37"/>
  <c r="K38" i="37"/>
  <c r="K98" i="37"/>
  <c r="K99" i="37"/>
  <c r="K100" i="37"/>
  <c r="K101" i="37"/>
  <c r="K102" i="37"/>
  <c r="K103" i="37"/>
  <c r="K20" i="37"/>
  <c r="K104" i="37"/>
  <c r="K105" i="37"/>
  <c r="K106" i="37"/>
  <c r="K107" i="37"/>
  <c r="K54" i="37"/>
  <c r="K108" i="37"/>
  <c r="K109" i="37"/>
  <c r="K110" i="37"/>
  <c r="K69" i="37"/>
  <c r="K111" i="37"/>
  <c r="K64" i="37"/>
  <c r="K55" i="37"/>
  <c r="K47" i="37"/>
  <c r="K112" i="37"/>
  <c r="K43" i="37"/>
  <c r="K44" i="37"/>
  <c r="K21" i="37"/>
  <c r="K56" i="37"/>
  <c r="K22" i="37"/>
  <c r="K113" i="37"/>
  <c r="K57" i="37"/>
  <c r="K114" i="37"/>
  <c r="K58" i="37"/>
  <c r="K23" i="37"/>
  <c r="K115" i="37"/>
  <c r="K116" i="37"/>
  <c r="K65" i="37"/>
  <c r="K117" i="37"/>
  <c r="K72" i="37"/>
  <c r="K118" i="37"/>
  <c r="K119" i="37"/>
  <c r="K120" i="37"/>
  <c r="K121" i="37"/>
  <c r="K122" i="37"/>
  <c r="K123" i="37"/>
  <c r="K124" i="37"/>
  <c r="K24" i="37"/>
  <c r="K125" i="37"/>
  <c r="K73" i="37"/>
  <c r="K126" i="37"/>
  <c r="K127" i="37"/>
  <c r="K29" i="37"/>
  <c r="K128" i="37"/>
  <c r="K129" i="37"/>
  <c r="K130" i="37"/>
  <c r="K131" i="37"/>
  <c r="K39" i="37"/>
  <c r="K132" i="37"/>
  <c r="K133" i="37"/>
  <c r="K59" i="37"/>
  <c r="K134" i="37"/>
  <c r="K135" i="37"/>
  <c r="K49" i="37"/>
  <c r="K136" i="37"/>
  <c r="K137" i="37"/>
  <c r="K16" i="37"/>
  <c r="K138" i="37"/>
  <c r="K139" i="37"/>
  <c r="K140" i="37"/>
  <c r="K141" i="37"/>
  <c r="K41" i="37"/>
  <c r="K142" i="37"/>
  <c r="K143" i="37"/>
  <c r="K144" i="37"/>
  <c r="K145" i="37"/>
  <c r="K45" i="37"/>
  <c r="K33" i="37"/>
  <c r="K146" i="37"/>
  <c r="K147" i="37"/>
  <c r="K60" i="37"/>
  <c r="K148" i="37"/>
  <c r="K149" i="37"/>
  <c r="K150" i="37"/>
  <c r="K151" i="37"/>
  <c r="K152" i="37"/>
  <c r="K153" i="37"/>
  <c r="K154" i="37"/>
  <c r="K155" i="37"/>
  <c r="K156" i="37"/>
  <c r="K157" i="37"/>
  <c r="K158" i="37"/>
  <c r="K63" i="37"/>
  <c r="K159" i="37"/>
  <c r="K160" i="37"/>
  <c r="K50" i="37"/>
  <c r="K161" i="37"/>
  <c r="K162" i="37"/>
  <c r="K163" i="37"/>
  <c r="K164" i="37"/>
  <c r="K165" i="37"/>
  <c r="K166" i="37"/>
  <c r="K28" i="37"/>
  <c r="K17" i="37"/>
  <c r="K51" i="37"/>
  <c r="K42" i="37"/>
  <c r="K167" i="37"/>
  <c r="K52" i="37"/>
  <c r="K46" i="37"/>
  <c r="K168" i="37"/>
  <c r="K169" i="37"/>
  <c r="K170" i="37"/>
  <c r="K171" i="37"/>
  <c r="K172" i="37"/>
  <c r="K173" i="37"/>
  <c r="K174" i="37"/>
  <c r="K61" i="37"/>
  <c r="K175" i="37"/>
  <c r="K176" i="37"/>
  <c r="K70" i="37"/>
  <c r="K177" i="37"/>
  <c r="K178" i="37"/>
  <c r="K18" i="37"/>
  <c r="K179" i="37"/>
  <c r="K180" i="37"/>
  <c r="K30" i="37"/>
  <c r="K62" i="37"/>
  <c r="K66" i="37"/>
  <c r="K181" i="37"/>
  <c r="K182" i="37"/>
  <c r="K183" i="37"/>
  <c r="K67" i="37"/>
  <c r="K184" i="37"/>
  <c r="K185" i="37"/>
  <c r="K186" i="37"/>
  <c r="K25" i="37"/>
  <c r="K187" i="37"/>
  <c r="K188" i="37"/>
  <c r="K189" i="37"/>
  <c r="K190" i="37"/>
  <c r="K26" i="37"/>
  <c r="K27" i="37"/>
  <c r="K191" i="37"/>
  <c r="K192" i="37"/>
  <c r="K193" i="37"/>
  <c r="K194" i="37"/>
  <c r="K195" i="37"/>
  <c r="K196" i="37"/>
  <c r="K197" i="37"/>
  <c r="K198" i="37"/>
  <c r="K199" i="37"/>
  <c r="K200" i="37"/>
  <c r="K201" i="37"/>
  <c r="K202" i="37"/>
  <c r="K203" i="37"/>
  <c r="K204" i="37"/>
  <c r="K205" i="37"/>
  <c r="K206" i="37"/>
  <c r="K207" i="37"/>
  <c r="K208" i="37"/>
  <c r="K209" i="37"/>
  <c r="K210" i="37"/>
  <c r="K211" i="37"/>
  <c r="K40" i="37"/>
  <c r="K68" i="37"/>
  <c r="K31" i="37"/>
  <c r="K212" i="37"/>
  <c r="K213" i="37"/>
  <c r="H47" i="37"/>
  <c r="AP47" i="37" s="1"/>
  <c r="H80" i="37"/>
  <c r="H81" i="37"/>
  <c r="AP81" i="37" s="1"/>
  <c r="H82" i="37"/>
  <c r="AP82" i="37" s="1"/>
  <c r="H83" i="37"/>
  <c r="H137" i="37"/>
  <c r="H111" i="37"/>
  <c r="AP111" i="37" s="1"/>
  <c r="H213" i="37"/>
  <c r="AP213" i="37" s="1"/>
  <c r="H153" i="37"/>
  <c r="H14" i="37"/>
  <c r="H84" i="37"/>
  <c r="AO84" i="37" s="1"/>
  <c r="H212" i="37"/>
  <c r="H185" i="37"/>
  <c r="AO185" i="37" s="1"/>
  <c r="H112" i="37"/>
  <c r="H187" i="37"/>
  <c r="H85" i="37"/>
  <c r="AP85" i="37" s="1"/>
  <c r="H32" i="37"/>
  <c r="H86" i="37"/>
  <c r="H173" i="37"/>
  <c r="AP173" i="37" s="1"/>
  <c r="H110" i="37"/>
  <c r="AO110" i="37" s="1"/>
  <c r="H52" i="37"/>
  <c r="H114" i="37"/>
  <c r="H58" i="37"/>
  <c r="AO58" i="37" s="1"/>
  <c r="H181" i="37"/>
  <c r="AP181" i="37" s="1"/>
  <c r="H65" i="37"/>
  <c r="AP65" i="37" s="1"/>
  <c r="H13" i="37"/>
  <c r="H121" i="37"/>
  <c r="AO121" i="37" s="1"/>
  <c r="H12" i="37"/>
  <c r="AP12" i="37" s="1"/>
  <c r="H134" i="37"/>
  <c r="AP134" i="37" s="1"/>
  <c r="H87" i="37"/>
  <c r="H172" i="37"/>
  <c r="AO172" i="37" s="1"/>
  <c r="H158" i="37"/>
  <c r="H69" i="37"/>
  <c r="H53" i="37"/>
  <c r="H60" i="37"/>
  <c r="AP60" i="37" s="1"/>
  <c r="H70" i="37"/>
  <c r="AP70" i="37" s="1"/>
  <c r="H88" i="37"/>
  <c r="H55" i="37"/>
  <c r="H167" i="37"/>
  <c r="AO167" i="37" s="1"/>
  <c r="H75" i="37"/>
  <c r="H78" i="37"/>
  <c r="H17" i="37"/>
  <c r="H45" i="37"/>
  <c r="AO45" i="37" s="1"/>
  <c r="H15" i="37"/>
  <c r="AP15" i="37" s="1"/>
  <c r="H89" i="37"/>
  <c r="H68" i="37"/>
  <c r="H125" i="37"/>
  <c r="H57" i="37"/>
  <c r="AO57" i="37" s="1"/>
  <c r="H144" i="37"/>
  <c r="AP144" i="37" s="1"/>
  <c r="H33" i="37"/>
  <c r="H59" i="37"/>
  <c r="AP59" i="37" s="1"/>
  <c r="H79" i="37"/>
  <c r="AO79" i="37" s="1"/>
  <c r="H189" i="37"/>
  <c r="AP189" i="37" s="1"/>
  <c r="H188" i="37"/>
  <c r="H90" i="37"/>
  <c r="AP90" i="37" s="1"/>
  <c r="H91" i="37"/>
  <c r="H19" i="37"/>
  <c r="AO19" i="37" s="1"/>
  <c r="H92" i="37"/>
  <c r="H129" i="37"/>
  <c r="AP129" i="37" s="1"/>
  <c r="H30" i="37"/>
  <c r="H166" i="37"/>
  <c r="AP166" i="37" s="1"/>
  <c r="H28" i="37"/>
  <c r="H107" i="37"/>
  <c r="AP107" i="37" s="1"/>
  <c r="H51" i="37"/>
  <c r="H128" i="37"/>
  <c r="H63" i="37"/>
  <c r="H36" i="37"/>
  <c r="H156" i="37"/>
  <c r="AP156" i="37" s="1"/>
  <c r="H21" i="37"/>
  <c r="H115" i="37"/>
  <c r="H18" i="37"/>
  <c r="AP18" i="37" s="1"/>
  <c r="H93" i="37"/>
  <c r="AP93" i="37" s="1"/>
  <c r="H16" i="37"/>
  <c r="H34" i="37"/>
  <c r="H66" i="37"/>
  <c r="H120" i="37"/>
  <c r="AO120" i="37" s="1"/>
  <c r="H44" i="37"/>
  <c r="H43" i="37"/>
  <c r="H194" i="37"/>
  <c r="AO194" i="37" s="1"/>
  <c r="H203" i="37"/>
  <c r="AP203" i="37" s="1"/>
  <c r="H199" i="37"/>
  <c r="H195" i="37"/>
  <c r="H204" i="37"/>
  <c r="AP204" i="37" s="1"/>
  <c r="H196" i="37"/>
  <c r="AP196" i="37" s="1"/>
  <c r="H40" i="37"/>
  <c r="AP40" i="37" s="1"/>
  <c r="H193" i="37"/>
  <c r="H205" i="37"/>
  <c r="AP205" i="37" s="1"/>
  <c r="H198" i="37"/>
  <c r="AP198" i="37" s="1"/>
  <c r="H206" i="37"/>
  <c r="AO206" i="37" s="1"/>
  <c r="H192" i="37"/>
  <c r="H207" i="37"/>
  <c r="AP207" i="37" s="1"/>
  <c r="H208" i="37"/>
  <c r="H201" i="37"/>
  <c r="H209" i="37"/>
  <c r="H200" i="37"/>
  <c r="AP200" i="37" s="1"/>
  <c r="H197" i="37"/>
  <c r="H210" i="37"/>
  <c r="H119" i="37"/>
  <c r="H118" i="37"/>
  <c r="AP118" i="37" s="1"/>
  <c r="H163" i="37"/>
  <c r="H164" i="37"/>
  <c r="AP164" i="37" s="1"/>
  <c r="H161" i="37"/>
  <c r="H50" i="37"/>
  <c r="AN50" i="37" s="1"/>
  <c r="H148" i="37"/>
  <c r="H149" i="37"/>
  <c r="H147" i="37"/>
  <c r="H175" i="37"/>
  <c r="H135" i="37"/>
  <c r="AO135" i="37" s="1"/>
  <c r="H186" i="37"/>
  <c r="H71" i="37"/>
  <c r="H157" i="37"/>
  <c r="AP157" i="37" s="1"/>
  <c r="H202" i="37"/>
  <c r="AP202" i="37" s="1"/>
  <c r="H133" i="37"/>
  <c r="AP133" i="37" s="1"/>
  <c r="H182" i="37"/>
  <c r="H169" i="37"/>
  <c r="AO169" i="37" s="1"/>
  <c r="H165" i="37"/>
  <c r="H74" i="37"/>
  <c r="H145" i="37"/>
  <c r="H113" i="37"/>
  <c r="AP113" i="37" s="1"/>
  <c r="H67" i="37"/>
  <c r="AP67" i="37" s="1"/>
  <c r="H130" i="37"/>
  <c r="H170" i="37"/>
  <c r="H184" i="37"/>
  <c r="AP184" i="37" s="1"/>
  <c r="H174" i="37"/>
  <c r="AP174" i="37" s="1"/>
  <c r="H171" i="37"/>
  <c r="H48" i="37"/>
  <c r="H35" i="37"/>
  <c r="AP35" i="37" s="1"/>
  <c r="H159" i="37"/>
  <c r="AO159" i="37" s="1"/>
  <c r="H49" i="37"/>
  <c r="H155" i="37"/>
  <c r="H150" i="37"/>
  <c r="AP150" i="37" s="1"/>
  <c r="H152" i="37"/>
  <c r="AP152" i="37" s="1"/>
  <c r="H151" i="37"/>
  <c r="H131" i="37"/>
  <c r="H73" i="37"/>
  <c r="AP73" i="37" s="1"/>
  <c r="H127" i="37"/>
  <c r="AO127" i="37" s="1"/>
  <c r="H126" i="37"/>
  <c r="H95" i="37"/>
  <c r="H180" i="37"/>
  <c r="AP180" i="37" s="1"/>
  <c r="H23" i="37"/>
  <c r="AP23" i="37" s="1"/>
  <c r="H96" i="37"/>
  <c r="AN96" i="37" s="1"/>
  <c r="H42" i="37"/>
  <c r="H39" i="37"/>
  <c r="AO39" i="37" s="1"/>
  <c r="H132" i="37"/>
  <c r="AP132" i="37" s="1"/>
  <c r="H97" i="37"/>
  <c r="AO97" i="37" s="1"/>
  <c r="H38" i="37"/>
  <c r="H139" i="37"/>
  <c r="AP139" i="37" s="1"/>
  <c r="H138" i="37"/>
  <c r="AP138" i="37" s="1"/>
  <c r="H98" i="37"/>
  <c r="H109" i="37"/>
  <c r="H183" i="37"/>
  <c r="AP183" i="37" s="1"/>
  <c r="H27" i="37"/>
  <c r="AO27" i="37" s="1"/>
  <c r="H37" i="37"/>
  <c r="H160" i="37"/>
  <c r="H26" i="37"/>
  <c r="AP26" i="37" s="1"/>
  <c r="H99" i="37"/>
  <c r="AP99" i="37" s="1"/>
  <c r="H140" i="37"/>
  <c r="AP140" i="37" s="1"/>
  <c r="H94" i="37"/>
  <c r="H100" i="37"/>
  <c r="H136" i="37"/>
  <c r="AP136" i="37" s="1"/>
  <c r="H101" i="37"/>
  <c r="AO101" i="37" s="1"/>
  <c r="H77" i="37"/>
  <c r="H176" i="37"/>
  <c r="H76" i="37"/>
  <c r="AO76" i="37" s="1"/>
  <c r="H24" i="37"/>
  <c r="H162" i="37"/>
  <c r="H31" i="37"/>
  <c r="AO31" i="37" s="1"/>
  <c r="H102" i="37"/>
  <c r="AP102" i="37" s="1"/>
  <c r="H108" i="37"/>
  <c r="H141" i="37"/>
  <c r="H191" i="37"/>
  <c r="AO191" i="37" s="1"/>
  <c r="H122" i="37"/>
  <c r="AO122" i="37" s="1"/>
  <c r="H190" i="37"/>
  <c r="H46" i="37"/>
  <c r="H177" i="37"/>
  <c r="H178" i="37"/>
  <c r="AP178" i="37" s="1"/>
  <c r="H54" i="37"/>
  <c r="AP54" i="37" s="1"/>
  <c r="H22" i="37"/>
  <c r="AO22" i="37" s="1"/>
  <c r="H116" i="37"/>
  <c r="AP116" i="37" s="1"/>
  <c r="H25" i="37"/>
  <c r="AP25" i="37" s="1"/>
  <c r="H103" i="37"/>
  <c r="H61" i="37"/>
  <c r="H211" i="37"/>
  <c r="AP211" i="37" s="1"/>
  <c r="H168" i="37"/>
  <c r="H41" i="37"/>
  <c r="AP41" i="37" s="1"/>
  <c r="H142" i="37"/>
  <c r="AN142" i="37" s="1"/>
  <c r="H123" i="37"/>
  <c r="AP123" i="37" s="1"/>
  <c r="H29" i="37"/>
  <c r="AP29" i="37" s="1"/>
  <c r="H179" i="37"/>
  <c r="AP179" i="37" s="1"/>
  <c r="H154" i="37"/>
  <c r="AP154" i="37" s="1"/>
  <c r="H117" i="37"/>
  <c r="AP117" i="37" s="1"/>
  <c r="H56" i="37"/>
  <c r="AP56" i="37" s="1"/>
  <c r="H143" i="37"/>
  <c r="H72" i="37"/>
  <c r="AO72" i="37" s="1"/>
  <c r="H146" i="37"/>
  <c r="AP146" i="37" s="1"/>
  <c r="H124" i="37"/>
  <c r="H62" i="37"/>
  <c r="AP62" i="37" s="1"/>
  <c r="H64" i="37"/>
  <c r="H20" i="37"/>
  <c r="AP20" i="37" s="1"/>
  <c r="H106" i="37"/>
  <c r="AP106" i="37" s="1"/>
  <c r="H104" i="37"/>
  <c r="AO104" i="37" s="1"/>
  <c r="H105" i="37"/>
  <c r="AI64" i="37" l="1"/>
  <c r="AG64" i="37"/>
  <c r="AE64" i="37"/>
  <c r="AF64" i="37"/>
  <c r="AH64" i="37"/>
  <c r="AJ64" i="37"/>
  <c r="AK64" i="37"/>
  <c r="AL64" i="37"/>
  <c r="AN64" i="37"/>
  <c r="AM64" i="37"/>
  <c r="AF61" i="37"/>
  <c r="AG61" i="37"/>
  <c r="AJ61" i="37"/>
  <c r="AH61" i="37"/>
  <c r="AI61" i="37"/>
  <c r="AK61" i="37"/>
  <c r="AO61" i="37"/>
  <c r="AN61" i="37"/>
  <c r="AM61" i="37"/>
  <c r="AL61" i="37"/>
  <c r="AE46" i="37"/>
  <c r="AF46" i="37"/>
  <c r="AI46" i="37"/>
  <c r="AJ46" i="37"/>
  <c r="AH46" i="37"/>
  <c r="AM46" i="37"/>
  <c r="AL46" i="37"/>
  <c r="AK46" i="37"/>
  <c r="AO46" i="37"/>
  <c r="AN46" i="37"/>
  <c r="AF141" i="37"/>
  <c r="AI141" i="37"/>
  <c r="AE141" i="37"/>
  <c r="AG141" i="37"/>
  <c r="AJ141" i="37"/>
  <c r="AH141" i="37"/>
  <c r="AK141" i="37"/>
  <c r="AL141" i="37"/>
  <c r="AM141" i="37"/>
  <c r="AN141" i="37"/>
  <c r="AG162" i="37"/>
  <c r="AF162" i="37"/>
  <c r="AE162" i="37"/>
  <c r="AH162" i="37"/>
  <c r="AJ162" i="37"/>
  <c r="AI162" i="37"/>
  <c r="AM162" i="37"/>
  <c r="AN162" i="37"/>
  <c r="AL162" i="37"/>
  <c r="AK162" i="37"/>
  <c r="AF77" i="37"/>
  <c r="AG77" i="37"/>
  <c r="AE77" i="37"/>
  <c r="AJ77" i="37"/>
  <c r="AH77" i="37"/>
  <c r="AI77" i="37"/>
  <c r="AK77" i="37"/>
  <c r="AL77" i="37"/>
  <c r="AM77" i="37"/>
  <c r="AN77" i="37"/>
  <c r="AE94" i="37"/>
  <c r="AF94" i="37"/>
  <c r="AG94" i="37"/>
  <c r="AH94" i="37"/>
  <c r="AI94" i="37"/>
  <c r="AJ94" i="37"/>
  <c r="AL94" i="37"/>
  <c r="AN94" i="37"/>
  <c r="AK94" i="37"/>
  <c r="AM94" i="37"/>
  <c r="AG160" i="37"/>
  <c r="AF160" i="37"/>
  <c r="AE160" i="37"/>
  <c r="AI160" i="37"/>
  <c r="AH160" i="37"/>
  <c r="AJ160" i="37"/>
  <c r="AL160" i="37"/>
  <c r="AN160" i="37"/>
  <c r="AK160" i="37"/>
  <c r="AM160" i="37"/>
  <c r="AE109" i="37"/>
  <c r="AF109" i="37"/>
  <c r="AG109" i="37"/>
  <c r="AH109" i="37"/>
  <c r="AJ109" i="37"/>
  <c r="AI109" i="37"/>
  <c r="AK109" i="37"/>
  <c r="AL109" i="37"/>
  <c r="AM109" i="37"/>
  <c r="AN109" i="37"/>
  <c r="AE38" i="37"/>
  <c r="AF38" i="37"/>
  <c r="AG38" i="37"/>
  <c r="AJ38" i="37"/>
  <c r="AH38" i="37"/>
  <c r="AI38" i="37"/>
  <c r="AK38" i="37"/>
  <c r="AE42" i="37"/>
  <c r="AG42" i="37"/>
  <c r="AF42" i="37"/>
  <c r="AH42" i="37"/>
  <c r="AJ42" i="37"/>
  <c r="AI42" i="37"/>
  <c r="AL42" i="37"/>
  <c r="AK42" i="37"/>
  <c r="AM42" i="37"/>
  <c r="AO42" i="37"/>
  <c r="AE95" i="37"/>
  <c r="AG95" i="37"/>
  <c r="AF95" i="37"/>
  <c r="AI95" i="37"/>
  <c r="AJ95" i="37"/>
  <c r="AK95" i="37"/>
  <c r="AM95" i="37"/>
  <c r="AN95" i="37"/>
  <c r="AL95" i="37"/>
  <c r="AF131" i="37"/>
  <c r="AG131" i="37"/>
  <c r="AE131" i="37"/>
  <c r="AI131" i="37"/>
  <c r="AJ131" i="37"/>
  <c r="AH131" i="37"/>
  <c r="AK131" i="37"/>
  <c r="AL131" i="37"/>
  <c r="AM131" i="37"/>
  <c r="AO131" i="37"/>
  <c r="AN131" i="37"/>
  <c r="AG155" i="37"/>
  <c r="AH155" i="37"/>
  <c r="AE155" i="37"/>
  <c r="AF155" i="37"/>
  <c r="AJ155" i="37"/>
  <c r="AI155" i="37"/>
  <c r="AM155" i="37"/>
  <c r="AL155" i="37"/>
  <c r="AK155" i="37"/>
  <c r="AO155" i="37"/>
  <c r="AF48" i="37"/>
  <c r="AE48" i="37"/>
  <c r="AG48" i="37"/>
  <c r="AI48" i="37"/>
  <c r="AJ48" i="37"/>
  <c r="AL48" i="37"/>
  <c r="AM48" i="37"/>
  <c r="AK48" i="37"/>
  <c r="AF170" i="37"/>
  <c r="AE170" i="37"/>
  <c r="AG170" i="37"/>
  <c r="AI170" i="37"/>
  <c r="AH170" i="37"/>
  <c r="AK170" i="37"/>
  <c r="AJ170" i="37"/>
  <c r="AM170" i="37"/>
  <c r="AL170" i="37"/>
  <c r="AO170" i="37"/>
  <c r="AG145" i="37"/>
  <c r="AE145" i="37"/>
  <c r="AF145" i="37"/>
  <c r="AJ145" i="37"/>
  <c r="AH145" i="37"/>
  <c r="AI145" i="37"/>
  <c r="AK145" i="37"/>
  <c r="AL145" i="37"/>
  <c r="AM145" i="37"/>
  <c r="AO145" i="37"/>
  <c r="AG182" i="37"/>
  <c r="AE182" i="37"/>
  <c r="AF182" i="37"/>
  <c r="AH182" i="37"/>
  <c r="AI182" i="37"/>
  <c r="AJ182" i="37"/>
  <c r="AL182" i="37"/>
  <c r="AK182" i="37"/>
  <c r="AM182" i="37"/>
  <c r="AN182" i="37"/>
  <c r="AE71" i="37"/>
  <c r="AF71" i="37"/>
  <c r="AG71" i="37"/>
  <c r="AI71" i="37"/>
  <c r="AH71" i="37"/>
  <c r="AK71" i="37"/>
  <c r="AM71" i="37"/>
  <c r="AJ71" i="37"/>
  <c r="AL71" i="37"/>
  <c r="AN71" i="37"/>
  <c r="AE147" i="37"/>
  <c r="AF147" i="37"/>
  <c r="AG147" i="37"/>
  <c r="AH147" i="37"/>
  <c r="AI147" i="37"/>
  <c r="AK147" i="37"/>
  <c r="AJ147" i="37"/>
  <c r="AM147" i="37"/>
  <c r="AL147" i="37"/>
  <c r="AE161" i="37"/>
  <c r="AF161" i="37"/>
  <c r="AG161" i="37"/>
  <c r="AH161" i="37"/>
  <c r="AI161" i="37"/>
  <c r="AJ161" i="37"/>
  <c r="AL161" i="37"/>
  <c r="AK161" i="37"/>
  <c r="AO161" i="37"/>
  <c r="AN161" i="37"/>
  <c r="AM161" i="37"/>
  <c r="AG119" i="37"/>
  <c r="AF119" i="37"/>
  <c r="AH119" i="37"/>
  <c r="AI119" i="37"/>
  <c r="AJ119" i="37"/>
  <c r="AM119" i="37"/>
  <c r="AN119" i="37"/>
  <c r="AK119" i="37"/>
  <c r="AL119" i="37"/>
  <c r="AF209" i="37"/>
  <c r="AG209" i="37"/>
  <c r="AE209" i="37"/>
  <c r="AH209" i="37"/>
  <c r="AI209" i="37"/>
  <c r="AJ209" i="37"/>
  <c r="AM209" i="37"/>
  <c r="AK209" i="37"/>
  <c r="AN209" i="37"/>
  <c r="AO209" i="37"/>
  <c r="AL209" i="37"/>
  <c r="AE192" i="37"/>
  <c r="AF192" i="37"/>
  <c r="AG192" i="37"/>
  <c r="AH192" i="37"/>
  <c r="AI192" i="37"/>
  <c r="AK192" i="37"/>
  <c r="AJ192" i="37"/>
  <c r="AL192" i="37"/>
  <c r="AN192" i="37"/>
  <c r="AM192" i="37"/>
  <c r="AO192" i="37"/>
  <c r="AF193" i="37"/>
  <c r="AG193" i="37"/>
  <c r="AE193" i="37"/>
  <c r="AH193" i="37"/>
  <c r="AI193" i="37"/>
  <c r="AJ193" i="37"/>
  <c r="AM193" i="37"/>
  <c r="AK193" i="37"/>
  <c r="AN193" i="37"/>
  <c r="AO193" i="37"/>
  <c r="AL193" i="37"/>
  <c r="AE195" i="37"/>
  <c r="AF195" i="37"/>
  <c r="AG195" i="37"/>
  <c r="AH195" i="37"/>
  <c r="AI195" i="37"/>
  <c r="AJ195" i="37"/>
  <c r="AK195" i="37"/>
  <c r="AL195" i="37"/>
  <c r="AM195" i="37"/>
  <c r="AN195" i="37"/>
  <c r="AO195" i="37"/>
  <c r="AE43" i="37"/>
  <c r="AJ43" i="37"/>
  <c r="AI43" i="37"/>
  <c r="AH43" i="37"/>
  <c r="AK43" i="37"/>
  <c r="AM43" i="37"/>
  <c r="AL43" i="37"/>
  <c r="AN43" i="37"/>
  <c r="AG34" i="37"/>
  <c r="AH34" i="37"/>
  <c r="AI34" i="37"/>
  <c r="AK34" i="37"/>
  <c r="AJ34" i="37"/>
  <c r="AG115" i="37"/>
  <c r="AF115" i="37"/>
  <c r="AE115" i="37"/>
  <c r="AH115" i="37"/>
  <c r="AJ115" i="37"/>
  <c r="AI115" i="37"/>
  <c r="AK115" i="37"/>
  <c r="AL115" i="37"/>
  <c r="AM115" i="37"/>
  <c r="AO115" i="37"/>
  <c r="AN115" i="37"/>
  <c r="AG63" i="37"/>
  <c r="AH63" i="37"/>
  <c r="AI63" i="37"/>
  <c r="AJ63" i="37"/>
  <c r="AM63" i="37"/>
  <c r="AL63" i="37"/>
  <c r="AK63" i="37"/>
  <c r="AO63" i="37"/>
  <c r="AN63" i="37"/>
  <c r="AE28" i="37"/>
  <c r="AH28" i="37"/>
  <c r="AJ28" i="37"/>
  <c r="AI28" i="37"/>
  <c r="AK28" i="37"/>
  <c r="AN28" i="37"/>
  <c r="AO28" i="37"/>
  <c r="AE92" i="37"/>
  <c r="AG92" i="37"/>
  <c r="AF92" i="37"/>
  <c r="AI92" i="37"/>
  <c r="AH92" i="37"/>
  <c r="AL92" i="37"/>
  <c r="AK92" i="37"/>
  <c r="AJ92" i="37"/>
  <c r="AM92" i="37"/>
  <c r="AN92" i="37"/>
  <c r="AG188" i="37"/>
  <c r="AE188" i="37"/>
  <c r="AF188" i="37"/>
  <c r="AH188" i="37"/>
  <c r="AI188" i="37"/>
  <c r="AJ188" i="37"/>
  <c r="AK188" i="37"/>
  <c r="AN188" i="37"/>
  <c r="AL188" i="37"/>
  <c r="AM188" i="37"/>
  <c r="AO188" i="37"/>
  <c r="AG33" i="37"/>
  <c r="AE33" i="37"/>
  <c r="AI33" i="37"/>
  <c r="AH33" i="37"/>
  <c r="AJ33" i="37"/>
  <c r="AK33" i="37"/>
  <c r="AF68" i="37"/>
  <c r="AG68" i="37"/>
  <c r="AE68" i="37"/>
  <c r="AH68" i="37"/>
  <c r="AJ68" i="37"/>
  <c r="AL68" i="37"/>
  <c r="AI68" i="37"/>
  <c r="AK68" i="37"/>
  <c r="AO68" i="37"/>
  <c r="AM68" i="37"/>
  <c r="AN68" i="37"/>
  <c r="AF17" i="37"/>
  <c r="AG17" i="37"/>
  <c r="AI17" i="37"/>
  <c r="AE17" i="37"/>
  <c r="AJ17" i="37"/>
  <c r="AH17" i="37"/>
  <c r="AK17" i="37"/>
  <c r="AL17" i="37"/>
  <c r="AM17" i="37"/>
  <c r="AN17" i="37"/>
  <c r="AG55" i="37"/>
  <c r="AH55" i="37"/>
  <c r="AE55" i="37"/>
  <c r="AJ55" i="37"/>
  <c r="AI55" i="37"/>
  <c r="AK55" i="37"/>
  <c r="AL55" i="37"/>
  <c r="AM55" i="37"/>
  <c r="AN55" i="37"/>
  <c r="AE53" i="37"/>
  <c r="AG53" i="37"/>
  <c r="AI53" i="37"/>
  <c r="AJ53" i="37"/>
  <c r="AH53" i="37"/>
  <c r="AK53" i="37"/>
  <c r="AL53" i="37"/>
  <c r="AM53" i="37"/>
  <c r="AE87" i="37"/>
  <c r="AG87" i="37"/>
  <c r="AF87" i="37"/>
  <c r="AI87" i="37"/>
  <c r="AH87" i="37"/>
  <c r="AK87" i="37"/>
  <c r="AM87" i="37"/>
  <c r="AN87" i="37"/>
  <c r="AJ87" i="37"/>
  <c r="AL87" i="37"/>
  <c r="AF13" i="37"/>
  <c r="AH13" i="37"/>
  <c r="AG13" i="37"/>
  <c r="AI13" i="37"/>
  <c r="AJ13" i="37"/>
  <c r="AK13" i="37"/>
  <c r="AL13" i="37"/>
  <c r="AM13" i="37"/>
  <c r="AN13" i="37"/>
  <c r="AE114" i="37"/>
  <c r="AG114" i="37"/>
  <c r="AF114" i="37"/>
  <c r="AH114" i="37"/>
  <c r="AI114" i="37"/>
  <c r="AJ114" i="37"/>
  <c r="AM114" i="37"/>
  <c r="AK114" i="37"/>
  <c r="AL114" i="37"/>
  <c r="AN114" i="37"/>
  <c r="AE86" i="37"/>
  <c r="AG86" i="37"/>
  <c r="AF86" i="37"/>
  <c r="AH86" i="37"/>
  <c r="AJ86" i="37"/>
  <c r="AI86" i="37"/>
  <c r="AK86" i="37"/>
  <c r="AL86" i="37"/>
  <c r="AM86" i="37"/>
  <c r="AN86" i="37"/>
  <c r="AF112" i="37"/>
  <c r="AE112" i="37"/>
  <c r="AG112" i="37"/>
  <c r="AJ112" i="37"/>
  <c r="AI112" i="37"/>
  <c r="AH112" i="37"/>
  <c r="AK112" i="37"/>
  <c r="AL112" i="37"/>
  <c r="AM112" i="37"/>
  <c r="AE14" i="37"/>
  <c r="AG14" i="37"/>
  <c r="AF14" i="37"/>
  <c r="AJ14" i="37"/>
  <c r="AH14" i="37"/>
  <c r="AI14" i="37"/>
  <c r="AK14" i="37"/>
  <c r="AL14" i="37"/>
  <c r="AO14" i="37"/>
  <c r="AM14" i="37"/>
  <c r="AG137" i="37"/>
  <c r="AF137" i="37"/>
  <c r="AE137" i="37"/>
  <c r="AJ137" i="37"/>
  <c r="AH137" i="37"/>
  <c r="AI137" i="37"/>
  <c r="AK137" i="37"/>
  <c r="AL137" i="37"/>
  <c r="AM137" i="37"/>
  <c r="AO137" i="37"/>
  <c r="AN137" i="37"/>
  <c r="AE80" i="37"/>
  <c r="AG80" i="37"/>
  <c r="AF80" i="37"/>
  <c r="AI80" i="37"/>
  <c r="AJ80" i="37"/>
  <c r="AH80" i="37"/>
  <c r="AM80" i="37"/>
  <c r="AK80" i="37"/>
  <c r="AL80" i="37"/>
  <c r="AO80" i="37"/>
  <c r="AA31" i="37"/>
  <c r="AA210" i="37"/>
  <c r="AA206" i="37"/>
  <c r="AA202" i="37"/>
  <c r="AA198" i="37"/>
  <c r="AA194" i="37"/>
  <c r="AA27" i="37"/>
  <c r="AA188" i="37"/>
  <c r="AA185" i="37"/>
  <c r="AA182" i="37"/>
  <c r="AA30" i="37"/>
  <c r="AA178" i="37"/>
  <c r="AA175" i="37"/>
  <c r="AA172" i="37"/>
  <c r="AA168" i="37"/>
  <c r="AA42" i="37"/>
  <c r="AA166" i="37"/>
  <c r="AA162" i="37"/>
  <c r="AA159" i="37"/>
  <c r="AA156" i="37"/>
  <c r="AA152" i="37"/>
  <c r="AA148" i="37"/>
  <c r="AA33" i="37"/>
  <c r="AA143" i="37"/>
  <c r="AA140" i="37"/>
  <c r="AA137" i="37"/>
  <c r="AA134" i="37"/>
  <c r="AA39" i="37"/>
  <c r="AA128" i="37"/>
  <c r="AA73" i="37"/>
  <c r="AA123" i="37"/>
  <c r="AA119" i="37"/>
  <c r="AA65" i="37"/>
  <c r="AA58" i="37"/>
  <c r="AA22" i="37"/>
  <c r="AA43" i="37"/>
  <c r="AA64" i="37"/>
  <c r="AA109" i="37"/>
  <c r="AA106" i="37"/>
  <c r="AA103" i="37"/>
  <c r="AA99" i="37"/>
  <c r="AA96" i="37"/>
  <c r="AA48" i="37"/>
  <c r="AA36" i="37"/>
  <c r="AA90" i="37"/>
  <c r="AA53" i="37"/>
  <c r="AA32" i="37"/>
  <c r="AA83" i="37"/>
  <c r="AA13" i="37"/>
  <c r="AB212" i="37"/>
  <c r="AB211" i="37"/>
  <c r="AB207" i="37"/>
  <c r="AB203" i="37"/>
  <c r="AB199" i="37"/>
  <c r="AB195" i="37"/>
  <c r="AB191" i="37"/>
  <c r="AB189" i="37"/>
  <c r="AB186" i="37"/>
  <c r="AB183" i="37"/>
  <c r="AB62" i="37"/>
  <c r="AB18" i="37"/>
  <c r="AB176" i="37"/>
  <c r="AB173" i="37"/>
  <c r="AB169" i="37"/>
  <c r="AB167" i="37"/>
  <c r="AB28" i="37"/>
  <c r="AB163" i="37"/>
  <c r="AB160" i="37"/>
  <c r="AB157" i="37"/>
  <c r="AB153" i="37"/>
  <c r="AB149" i="37"/>
  <c r="AB146" i="37"/>
  <c r="AB144" i="37"/>
  <c r="AB141" i="37"/>
  <c r="AB16" i="37"/>
  <c r="AB135" i="37"/>
  <c r="AB132" i="37"/>
  <c r="AB129" i="37"/>
  <c r="AB126" i="37"/>
  <c r="AB123" i="37"/>
  <c r="AB119" i="37"/>
  <c r="AB65" i="37"/>
  <c r="AB58" i="37"/>
  <c r="AB22" i="37"/>
  <c r="AB43" i="37"/>
  <c r="AB64" i="37"/>
  <c r="AB110" i="37"/>
  <c r="AB107" i="37"/>
  <c r="AB105" i="37"/>
  <c r="AB102" i="37"/>
  <c r="AB98" i="37"/>
  <c r="AB95" i="37"/>
  <c r="AB37" i="37"/>
  <c r="AB19" i="37"/>
  <c r="AB15" i="37"/>
  <c r="AB12" i="37"/>
  <c r="AB84" i="37"/>
  <c r="AB81" i="37"/>
  <c r="AB34" i="37"/>
  <c r="AC68" i="37"/>
  <c r="AC209" i="37"/>
  <c r="AC205" i="37"/>
  <c r="AC201" i="37"/>
  <c r="AC197" i="37"/>
  <c r="AC193" i="37"/>
  <c r="AC26" i="37"/>
  <c r="AC187" i="37"/>
  <c r="AC184" i="37"/>
  <c r="AC181" i="37"/>
  <c r="AC180" i="37"/>
  <c r="AC177" i="37"/>
  <c r="AC173" i="37"/>
  <c r="AC169" i="37"/>
  <c r="AC42" i="37"/>
  <c r="AC165" i="37"/>
  <c r="AC161" i="37"/>
  <c r="AC157" i="37"/>
  <c r="AC153" i="37"/>
  <c r="AC149" i="37"/>
  <c r="AC146" i="37"/>
  <c r="AC143" i="37"/>
  <c r="AC140" i="37"/>
  <c r="AC137" i="37"/>
  <c r="AC134" i="37"/>
  <c r="AC39" i="37"/>
  <c r="AC128" i="37"/>
  <c r="AC73" i="37"/>
  <c r="AC123" i="37"/>
  <c r="AC117" i="37"/>
  <c r="AC115" i="37"/>
  <c r="AC57" i="37"/>
  <c r="AC21" i="37"/>
  <c r="AC64" i="37"/>
  <c r="AC108" i="37"/>
  <c r="AC76" i="37"/>
  <c r="AC20" i="37"/>
  <c r="AC100" i="37"/>
  <c r="AC96" i="37"/>
  <c r="AC37" i="37"/>
  <c r="AC19" i="37"/>
  <c r="AC15" i="37"/>
  <c r="AC12" i="37"/>
  <c r="AC84" i="37"/>
  <c r="AC81" i="37"/>
  <c r="AD212" i="37"/>
  <c r="AD211" i="37"/>
  <c r="AD207" i="37"/>
  <c r="AD203" i="37"/>
  <c r="AD199" i="37"/>
  <c r="AD195" i="37"/>
  <c r="AD191" i="37"/>
  <c r="AD189" i="37"/>
  <c r="AD186" i="37"/>
  <c r="AD183" i="37"/>
  <c r="AD62" i="37"/>
  <c r="AD18" i="37"/>
  <c r="AD176" i="37"/>
  <c r="AD173" i="37"/>
  <c r="AD169" i="37"/>
  <c r="AD167" i="37"/>
  <c r="AD163" i="37"/>
  <c r="AD160" i="37"/>
  <c r="AD153" i="37"/>
  <c r="AD149" i="37"/>
  <c r="AD146" i="37"/>
  <c r="AD144" i="37"/>
  <c r="AD141" i="37"/>
  <c r="AD16" i="37"/>
  <c r="AD74" i="37"/>
  <c r="AD133" i="37"/>
  <c r="AD130" i="37"/>
  <c r="AD127" i="37"/>
  <c r="AD24" i="37"/>
  <c r="AD121" i="37"/>
  <c r="AD72" i="37"/>
  <c r="AD116" i="37"/>
  <c r="AD114" i="37"/>
  <c r="AD56" i="37"/>
  <c r="AD112" i="37"/>
  <c r="AD111" i="37"/>
  <c r="AD109" i="37"/>
  <c r="AD106" i="37"/>
  <c r="AD104" i="37"/>
  <c r="AD101" i="37"/>
  <c r="AD38" i="37"/>
  <c r="AD94" i="37"/>
  <c r="AD71" i="37"/>
  <c r="AD19" i="37"/>
  <c r="AD15" i="37"/>
  <c r="AD12" i="37"/>
  <c r="AD84" i="37"/>
  <c r="AD81" i="37"/>
  <c r="AP53" i="37"/>
  <c r="AP96" i="37"/>
  <c r="AP45" i="37"/>
  <c r="AP63" i="37"/>
  <c r="AP46" i="37"/>
  <c r="AO81" i="37"/>
  <c r="AO111" i="37"/>
  <c r="AO116" i="37"/>
  <c r="AP14" i="37"/>
  <c r="AP175" i="37"/>
  <c r="AP185" i="37"/>
  <c r="AP31" i="37"/>
  <c r="AO87" i="37"/>
  <c r="AO95" i="37"/>
  <c r="AO107" i="37"/>
  <c r="AP94" i="37"/>
  <c r="AP121" i="37"/>
  <c r="AP167" i="37"/>
  <c r="AO13" i="37"/>
  <c r="AO90" i="37"/>
  <c r="AO99" i="37"/>
  <c r="AO77" i="37"/>
  <c r="AO23" i="37"/>
  <c r="AO73" i="37"/>
  <c r="AP92" i="37"/>
  <c r="AP64" i="37"/>
  <c r="AO142" i="37"/>
  <c r="AN57" i="37"/>
  <c r="AN135" i="37"/>
  <c r="AO160" i="37"/>
  <c r="AO62" i="37"/>
  <c r="AO207" i="37"/>
  <c r="AN104" i="37"/>
  <c r="AE105" i="37"/>
  <c r="AG105" i="37"/>
  <c r="AF105" i="37"/>
  <c r="AI105" i="37"/>
  <c r="AH105" i="37"/>
  <c r="AJ105" i="37"/>
  <c r="AK105" i="37"/>
  <c r="AM105" i="37"/>
  <c r="AL105" i="37"/>
  <c r="AN105" i="37"/>
  <c r="AG142" i="37"/>
  <c r="AE142" i="37"/>
  <c r="AH142" i="37"/>
  <c r="AF142" i="37"/>
  <c r="AJ142" i="37"/>
  <c r="AI142" i="37"/>
  <c r="AM142" i="37"/>
  <c r="AL142" i="37"/>
  <c r="AK142" i="37"/>
  <c r="AE143" i="37"/>
  <c r="AG143" i="37"/>
  <c r="AF143" i="37"/>
  <c r="AI143" i="37"/>
  <c r="AH143" i="37"/>
  <c r="AJ143" i="37"/>
  <c r="AL143" i="37"/>
  <c r="AK143" i="37"/>
  <c r="AM143" i="37"/>
  <c r="AN143" i="37"/>
  <c r="AF103" i="37"/>
  <c r="AE103" i="37"/>
  <c r="AG103" i="37"/>
  <c r="AJ103" i="37"/>
  <c r="AH103" i="37"/>
  <c r="AI103" i="37"/>
  <c r="AK103" i="37"/>
  <c r="AL103" i="37"/>
  <c r="AM103" i="37"/>
  <c r="AN103" i="37"/>
  <c r="AG108" i="37"/>
  <c r="AF108" i="37"/>
  <c r="AE108" i="37"/>
  <c r="AH108" i="37"/>
  <c r="AI108" i="37"/>
  <c r="AJ108" i="37"/>
  <c r="AL108" i="37"/>
  <c r="AK108" i="37"/>
  <c r="AM108" i="37"/>
  <c r="AE24" i="37"/>
  <c r="AG24" i="37"/>
  <c r="AF24" i="37"/>
  <c r="AH24" i="37"/>
  <c r="AI24" i="37"/>
  <c r="AJ24" i="37"/>
  <c r="AK24" i="37"/>
  <c r="AL24" i="37"/>
  <c r="AN24" i="37"/>
  <c r="AF101" i="37"/>
  <c r="AG101" i="37"/>
  <c r="AE101" i="37"/>
  <c r="AJ101" i="37"/>
  <c r="AH101" i="37"/>
  <c r="AI101" i="37"/>
  <c r="AK101" i="37"/>
  <c r="AM101" i="37"/>
  <c r="AN101" i="37"/>
  <c r="AL101" i="37"/>
  <c r="AE140" i="37"/>
  <c r="AG140" i="37"/>
  <c r="AF140" i="37"/>
  <c r="AJ140" i="37"/>
  <c r="AH140" i="37"/>
  <c r="AI140" i="37"/>
  <c r="AL140" i="37"/>
  <c r="AK140" i="37"/>
  <c r="AM140" i="37"/>
  <c r="AN140" i="37"/>
  <c r="AO140" i="37"/>
  <c r="AE37" i="37"/>
  <c r="AG37" i="37"/>
  <c r="AF37" i="37"/>
  <c r="AI37" i="37"/>
  <c r="AJ37" i="37"/>
  <c r="AH37" i="37"/>
  <c r="AK37" i="37"/>
  <c r="AM37" i="37"/>
  <c r="AN37" i="37"/>
  <c r="AF98" i="37"/>
  <c r="AE98" i="37"/>
  <c r="AG98" i="37"/>
  <c r="AH98" i="37"/>
  <c r="AK98" i="37"/>
  <c r="AI98" i="37"/>
  <c r="AJ98" i="37"/>
  <c r="AL98" i="37"/>
  <c r="AN98" i="37"/>
  <c r="AM98" i="37"/>
  <c r="AE97" i="37"/>
  <c r="AG97" i="37"/>
  <c r="AF97" i="37"/>
  <c r="AH97" i="37"/>
  <c r="AI97" i="37"/>
  <c r="AJ97" i="37"/>
  <c r="AM97" i="37"/>
  <c r="AL97" i="37"/>
  <c r="AN97" i="37"/>
  <c r="AK97" i="37"/>
  <c r="AF96" i="37"/>
  <c r="AE96" i="37"/>
  <c r="AG96" i="37"/>
  <c r="AH96" i="37"/>
  <c r="AI96" i="37"/>
  <c r="AJ96" i="37"/>
  <c r="AK96" i="37"/>
  <c r="AL96" i="37"/>
  <c r="AM96" i="37"/>
  <c r="AG126" i="37"/>
  <c r="AF126" i="37"/>
  <c r="AE126" i="37"/>
  <c r="AJ126" i="37"/>
  <c r="AH126" i="37"/>
  <c r="AI126" i="37"/>
  <c r="AK126" i="37"/>
  <c r="AL126" i="37"/>
  <c r="AM126" i="37"/>
  <c r="AO126" i="37"/>
  <c r="AN126" i="37"/>
  <c r="AF151" i="37"/>
  <c r="AG151" i="37"/>
  <c r="AE151" i="37"/>
  <c r="AJ151" i="37"/>
  <c r="AI151" i="37"/>
  <c r="AH151" i="37"/>
  <c r="AK151" i="37"/>
  <c r="AO151" i="37"/>
  <c r="AN151" i="37"/>
  <c r="AM151" i="37"/>
  <c r="AL151" i="37"/>
  <c r="AE49" i="37"/>
  <c r="AF49" i="37"/>
  <c r="AG49" i="37"/>
  <c r="AK49" i="37"/>
  <c r="AI49" i="37"/>
  <c r="AJ49" i="37"/>
  <c r="AL49" i="37"/>
  <c r="AM49" i="37"/>
  <c r="AO49" i="37"/>
  <c r="AN49" i="37"/>
  <c r="AE171" i="37"/>
  <c r="AF171" i="37"/>
  <c r="AG171" i="37"/>
  <c r="AH171" i="37"/>
  <c r="AI171" i="37"/>
  <c r="AJ171" i="37"/>
  <c r="AL171" i="37"/>
  <c r="AK171" i="37"/>
  <c r="AO171" i="37"/>
  <c r="AN171" i="37"/>
  <c r="AM171" i="37"/>
  <c r="AF130" i="37"/>
  <c r="AE130" i="37"/>
  <c r="AG130" i="37"/>
  <c r="AJ130" i="37"/>
  <c r="AH130" i="37"/>
  <c r="AK130" i="37"/>
  <c r="AI130" i="37"/>
  <c r="AL130" i="37"/>
  <c r="AM130" i="37"/>
  <c r="AE74" i="37"/>
  <c r="AG74" i="37"/>
  <c r="AF74" i="37"/>
  <c r="AH74" i="37"/>
  <c r="AI74" i="37"/>
  <c r="AJ74" i="37"/>
  <c r="AK74" i="37"/>
  <c r="AN74" i="37"/>
  <c r="AL74" i="37"/>
  <c r="AM74" i="37"/>
  <c r="AF133" i="37"/>
  <c r="AE133" i="37"/>
  <c r="AG133" i="37"/>
  <c r="AH133" i="37"/>
  <c r="AI133" i="37"/>
  <c r="AJ133" i="37"/>
  <c r="AL133" i="37"/>
  <c r="AM133" i="37"/>
  <c r="AK133" i="37"/>
  <c r="AN133" i="37"/>
  <c r="AG186" i="37"/>
  <c r="AE186" i="37"/>
  <c r="AF186" i="37"/>
  <c r="AH186" i="37"/>
  <c r="AI186" i="37"/>
  <c r="AJ186" i="37"/>
  <c r="AK186" i="37"/>
  <c r="AM186" i="37"/>
  <c r="AL186" i="37"/>
  <c r="AN186" i="37"/>
  <c r="AG149" i="37"/>
  <c r="AF149" i="37"/>
  <c r="AE149" i="37"/>
  <c r="AH149" i="37"/>
  <c r="AJ149" i="37"/>
  <c r="AI149" i="37"/>
  <c r="AL149" i="37"/>
  <c r="AK149" i="37"/>
  <c r="AM149" i="37"/>
  <c r="AN149" i="37"/>
  <c r="AO149" i="37"/>
  <c r="AE164" i="37"/>
  <c r="AF164" i="37"/>
  <c r="AG164" i="37"/>
  <c r="AI164" i="37"/>
  <c r="AK164" i="37"/>
  <c r="AJ164" i="37"/>
  <c r="AH164" i="37"/>
  <c r="AL164" i="37"/>
  <c r="AO164" i="37"/>
  <c r="AM164" i="37"/>
  <c r="AN164" i="37"/>
  <c r="AG210" i="37"/>
  <c r="AF210" i="37"/>
  <c r="AH210" i="37"/>
  <c r="AE210" i="37"/>
  <c r="AI210" i="37"/>
  <c r="AJ210" i="37"/>
  <c r="AL210" i="37"/>
  <c r="AN210" i="37"/>
  <c r="AK210" i="37"/>
  <c r="AM210" i="37"/>
  <c r="AF201" i="37"/>
  <c r="AG201" i="37"/>
  <c r="AE201" i="37"/>
  <c r="AH201" i="37"/>
  <c r="AI201" i="37"/>
  <c r="AJ201" i="37"/>
  <c r="AL201" i="37"/>
  <c r="AM201" i="37"/>
  <c r="AK201" i="37"/>
  <c r="AN201" i="37"/>
  <c r="AO201" i="37"/>
  <c r="AG206" i="37"/>
  <c r="AE206" i="37"/>
  <c r="AF206" i="37"/>
  <c r="AH206" i="37"/>
  <c r="AI206" i="37"/>
  <c r="AJ206" i="37"/>
  <c r="AK206" i="37"/>
  <c r="AM206" i="37"/>
  <c r="AL206" i="37"/>
  <c r="AN206" i="37"/>
  <c r="AE40" i="37"/>
  <c r="AF40" i="37"/>
  <c r="AG40" i="37"/>
  <c r="AK40" i="37"/>
  <c r="AJ40" i="37"/>
  <c r="AH40" i="37"/>
  <c r="AO40" i="37"/>
  <c r="AG199" i="37"/>
  <c r="AE199" i="37"/>
  <c r="AF199" i="37"/>
  <c r="AH199" i="37"/>
  <c r="AI199" i="37"/>
  <c r="AJ199" i="37"/>
  <c r="AK199" i="37"/>
  <c r="AL199" i="37"/>
  <c r="AM199" i="37"/>
  <c r="AN199" i="37"/>
  <c r="AO199" i="37"/>
  <c r="AF44" i="37"/>
  <c r="AH44" i="37"/>
  <c r="AI44" i="37"/>
  <c r="AJ44" i="37"/>
  <c r="AL44" i="37"/>
  <c r="AM44" i="37"/>
  <c r="AN44" i="37"/>
  <c r="AK44" i="37"/>
  <c r="AE16" i="37"/>
  <c r="AG16" i="37"/>
  <c r="AF16" i="37"/>
  <c r="AJ16" i="37"/>
  <c r="AK16" i="37"/>
  <c r="AF21" i="37"/>
  <c r="AE21" i="37"/>
  <c r="AG21" i="37"/>
  <c r="AH21" i="37"/>
  <c r="AI21" i="37"/>
  <c r="AJ21" i="37"/>
  <c r="AK21" i="37"/>
  <c r="AL21" i="37"/>
  <c r="AF128" i="37"/>
  <c r="AG128" i="37"/>
  <c r="AI128" i="37"/>
  <c r="AE128" i="37"/>
  <c r="AJ128" i="37"/>
  <c r="AH128" i="37"/>
  <c r="AK128" i="37"/>
  <c r="AL128" i="37"/>
  <c r="AM128" i="37"/>
  <c r="AN128" i="37"/>
  <c r="AE166" i="37"/>
  <c r="AG166" i="37"/>
  <c r="AF166" i="37"/>
  <c r="AJ166" i="37"/>
  <c r="AI166" i="37"/>
  <c r="AH166" i="37"/>
  <c r="AM166" i="37"/>
  <c r="AN166" i="37"/>
  <c r="AL166" i="37"/>
  <c r="AK166" i="37"/>
  <c r="AF19" i="37"/>
  <c r="AG19" i="37"/>
  <c r="AE19" i="37"/>
  <c r="AI19" i="37"/>
  <c r="AH19" i="37"/>
  <c r="AK19" i="37"/>
  <c r="AL19" i="37"/>
  <c r="AN19" i="37"/>
  <c r="AJ19" i="37"/>
  <c r="AG189" i="37"/>
  <c r="AE189" i="37"/>
  <c r="AF189" i="37"/>
  <c r="AH189" i="37"/>
  <c r="AI189" i="37"/>
  <c r="AJ189" i="37"/>
  <c r="AL189" i="37"/>
  <c r="AM189" i="37"/>
  <c r="AK189" i="37"/>
  <c r="AN189" i="37"/>
  <c r="AF144" i="37"/>
  <c r="AE144" i="37"/>
  <c r="AG144" i="37"/>
  <c r="AI144" i="37"/>
  <c r="AH144" i="37"/>
  <c r="AJ144" i="37"/>
  <c r="AL144" i="37"/>
  <c r="AM144" i="37"/>
  <c r="AK144" i="37"/>
  <c r="AN144" i="37"/>
  <c r="AF89" i="37"/>
  <c r="AE89" i="37"/>
  <c r="AG89" i="37"/>
  <c r="AH89" i="37"/>
  <c r="AK89" i="37"/>
  <c r="AI89" i="37"/>
  <c r="AJ89" i="37"/>
  <c r="AL89" i="37"/>
  <c r="AM89" i="37"/>
  <c r="AN89" i="37"/>
  <c r="AF78" i="37"/>
  <c r="AG78" i="37"/>
  <c r="AI78" i="37"/>
  <c r="AE78" i="37"/>
  <c r="AJ78" i="37"/>
  <c r="AH78" i="37"/>
  <c r="AK78" i="37"/>
  <c r="AL78" i="37"/>
  <c r="AM78" i="37"/>
  <c r="AN78" i="37"/>
  <c r="AE88" i="37"/>
  <c r="AG88" i="37"/>
  <c r="AF88" i="37"/>
  <c r="AI88" i="37"/>
  <c r="AH88" i="37"/>
  <c r="AJ88" i="37"/>
  <c r="AL88" i="37"/>
  <c r="AM88" i="37"/>
  <c r="AN88" i="37"/>
  <c r="AK88" i="37"/>
  <c r="AG69" i="37"/>
  <c r="AF69" i="37"/>
  <c r="AE69" i="37"/>
  <c r="AI69" i="37"/>
  <c r="AJ69" i="37"/>
  <c r="AH69" i="37"/>
  <c r="AL69" i="37"/>
  <c r="AK69" i="37"/>
  <c r="AM69" i="37"/>
  <c r="AO69" i="37"/>
  <c r="AN69" i="37"/>
  <c r="AE134" i="37"/>
  <c r="AF134" i="37"/>
  <c r="AG134" i="37"/>
  <c r="AI134" i="37"/>
  <c r="AH134" i="37"/>
  <c r="AJ134" i="37"/>
  <c r="AN134" i="37"/>
  <c r="AK134" i="37"/>
  <c r="AL134" i="37"/>
  <c r="AM134" i="37"/>
  <c r="AF65" i="37"/>
  <c r="AG65" i="37"/>
  <c r="AE65" i="37"/>
  <c r="AH65" i="37"/>
  <c r="AK65" i="37"/>
  <c r="AI65" i="37"/>
  <c r="AJ65" i="37"/>
  <c r="AN65" i="37"/>
  <c r="AM65" i="37"/>
  <c r="AL65" i="37"/>
  <c r="AG52" i="37"/>
  <c r="AF52" i="37"/>
  <c r="AJ52" i="37"/>
  <c r="AH52" i="37"/>
  <c r="AK52" i="37"/>
  <c r="AI52" i="37"/>
  <c r="AL52" i="37"/>
  <c r="AO52" i="37"/>
  <c r="AM52" i="37"/>
  <c r="AE32" i="37"/>
  <c r="AF32" i="37"/>
  <c r="AG32" i="37"/>
  <c r="AI32" i="37"/>
  <c r="AJ32" i="37"/>
  <c r="AK32" i="37"/>
  <c r="AE185" i="37"/>
  <c r="AF185" i="37"/>
  <c r="AG185" i="37"/>
  <c r="AJ185" i="37"/>
  <c r="AH185" i="37"/>
  <c r="AI185" i="37"/>
  <c r="AK185" i="37"/>
  <c r="AM185" i="37"/>
  <c r="AN185" i="37"/>
  <c r="AL185" i="37"/>
  <c r="AF153" i="37"/>
  <c r="AE153" i="37"/>
  <c r="AI153" i="37"/>
  <c r="AG153" i="37"/>
  <c r="AH153" i="37"/>
  <c r="AJ153" i="37"/>
  <c r="AK153" i="37"/>
  <c r="AM153" i="37"/>
  <c r="AN153" i="37"/>
  <c r="AO153" i="37"/>
  <c r="AL153" i="37"/>
  <c r="AF83" i="37"/>
  <c r="AE83" i="37"/>
  <c r="AH83" i="37"/>
  <c r="AG83" i="37"/>
  <c r="AI83" i="37"/>
  <c r="AJ83" i="37"/>
  <c r="AK83" i="37"/>
  <c r="AL83" i="37"/>
  <c r="AM83" i="37"/>
  <c r="AF47" i="37"/>
  <c r="AE47" i="37"/>
  <c r="AG47" i="37"/>
  <c r="AJ47" i="37"/>
  <c r="AI47" i="37"/>
  <c r="AL47" i="37"/>
  <c r="AK47" i="37"/>
  <c r="AM47" i="37"/>
  <c r="AO47" i="37"/>
  <c r="AN47" i="37"/>
  <c r="AA68" i="37"/>
  <c r="AA209" i="37"/>
  <c r="AA205" i="37"/>
  <c r="AA201" i="37"/>
  <c r="AA197" i="37"/>
  <c r="AA193" i="37"/>
  <c r="AA26" i="37"/>
  <c r="AA187" i="37"/>
  <c r="AA184" i="37"/>
  <c r="AA181" i="37"/>
  <c r="AA180" i="37"/>
  <c r="AA177" i="37"/>
  <c r="AA61" i="37"/>
  <c r="AA171" i="37"/>
  <c r="AA46" i="37"/>
  <c r="AA51" i="37"/>
  <c r="AA165" i="37"/>
  <c r="AA161" i="37"/>
  <c r="AA63" i="37"/>
  <c r="AA155" i="37"/>
  <c r="AA151" i="37"/>
  <c r="AA60" i="37"/>
  <c r="AA45" i="37"/>
  <c r="AA142" i="37"/>
  <c r="AA139" i="37"/>
  <c r="AA136" i="37"/>
  <c r="AA59" i="37"/>
  <c r="AA131" i="37"/>
  <c r="AA29" i="37"/>
  <c r="AA125" i="37"/>
  <c r="AA122" i="37"/>
  <c r="AA118" i="37"/>
  <c r="AA116" i="37"/>
  <c r="AA114" i="37"/>
  <c r="AA56" i="37"/>
  <c r="AA112" i="37"/>
  <c r="AA111" i="37"/>
  <c r="AA108" i="37"/>
  <c r="AA105" i="37"/>
  <c r="AA102" i="37"/>
  <c r="AA98" i="37"/>
  <c r="AA95" i="37"/>
  <c r="AA37" i="37"/>
  <c r="AA92" i="37"/>
  <c r="AA89" i="37"/>
  <c r="AA87" i="37"/>
  <c r="AA85" i="37"/>
  <c r="AA82" i="37"/>
  <c r="AA79" i="37"/>
  <c r="AB31" i="37"/>
  <c r="AB210" i="37"/>
  <c r="AB206" i="37"/>
  <c r="AB202" i="37"/>
  <c r="AB198" i="37"/>
  <c r="AB194" i="37"/>
  <c r="AB27" i="37"/>
  <c r="AB188" i="37"/>
  <c r="AB185" i="37"/>
  <c r="AB182" i="37"/>
  <c r="AB30" i="37"/>
  <c r="AB178" i="37"/>
  <c r="AB175" i="37"/>
  <c r="AB172" i="37"/>
  <c r="AB168" i="37"/>
  <c r="AB42" i="37"/>
  <c r="AB166" i="37"/>
  <c r="AB162" i="37"/>
  <c r="AB159" i="37"/>
  <c r="AB156" i="37"/>
  <c r="AB152" i="37"/>
  <c r="AB148" i="37"/>
  <c r="AB33" i="37"/>
  <c r="AB143" i="37"/>
  <c r="AB140" i="37"/>
  <c r="AB137" i="37"/>
  <c r="AB134" i="37"/>
  <c r="AB39" i="37"/>
  <c r="AB128" i="37"/>
  <c r="AB125" i="37"/>
  <c r="AB122" i="37"/>
  <c r="AB118" i="37"/>
  <c r="AB116" i="37"/>
  <c r="AB114" i="37"/>
  <c r="AB56" i="37"/>
  <c r="AB112" i="37"/>
  <c r="AB111" i="37"/>
  <c r="AB109" i="37"/>
  <c r="AB106" i="37"/>
  <c r="AB104" i="37"/>
  <c r="AB101" i="37"/>
  <c r="AB38" i="37"/>
  <c r="AB94" i="37"/>
  <c r="AB93" i="37"/>
  <c r="AB91" i="37"/>
  <c r="AB88" i="37"/>
  <c r="AB86" i="37"/>
  <c r="AB14" i="37"/>
  <c r="AB80" i="37"/>
  <c r="AC213" i="37"/>
  <c r="AC40" i="37"/>
  <c r="AC208" i="37"/>
  <c r="AC204" i="37"/>
  <c r="AC200" i="37"/>
  <c r="AC196" i="37"/>
  <c r="AC192" i="37"/>
  <c r="AC190" i="37"/>
  <c r="AC25" i="37"/>
  <c r="AC67" i="37"/>
  <c r="AC66" i="37"/>
  <c r="AC179" i="37"/>
  <c r="AC176" i="37"/>
  <c r="AC172" i="37"/>
  <c r="AC168" i="37"/>
  <c r="AC17" i="37"/>
  <c r="AC164" i="37"/>
  <c r="AC160" i="37"/>
  <c r="AC156" i="37"/>
  <c r="AC152" i="37"/>
  <c r="AC148" i="37"/>
  <c r="AC45" i="37"/>
  <c r="AC142" i="37"/>
  <c r="AC139" i="37"/>
  <c r="AC136" i="37"/>
  <c r="AC59" i="37"/>
  <c r="AC131" i="37"/>
  <c r="AC29" i="37"/>
  <c r="AC125" i="37"/>
  <c r="AC122" i="37"/>
  <c r="AC78" i="37"/>
  <c r="AC23" i="37"/>
  <c r="AC113" i="37"/>
  <c r="AC112" i="37"/>
  <c r="AC111" i="37"/>
  <c r="AC54" i="37"/>
  <c r="AC75" i="37"/>
  <c r="AC103" i="37"/>
  <c r="AC99" i="37"/>
  <c r="AC95" i="37"/>
  <c r="AC93" i="37"/>
  <c r="AC91" i="37"/>
  <c r="AC88" i="37"/>
  <c r="AC86" i="37"/>
  <c r="AC14" i="37"/>
  <c r="AC80" i="37"/>
  <c r="AD31" i="37"/>
  <c r="AD210" i="37"/>
  <c r="AD206" i="37"/>
  <c r="AD202" i="37"/>
  <c r="AD198" i="37"/>
  <c r="AD194" i="37"/>
  <c r="AD27" i="37"/>
  <c r="AD188" i="37"/>
  <c r="AD185" i="37"/>
  <c r="AD182" i="37"/>
  <c r="AD30" i="37"/>
  <c r="AD178" i="37"/>
  <c r="AD175" i="37"/>
  <c r="AD172" i="37"/>
  <c r="AD168" i="37"/>
  <c r="AD42" i="37"/>
  <c r="AD166" i="37"/>
  <c r="AD162" i="37"/>
  <c r="AD159" i="37"/>
  <c r="AD156" i="37"/>
  <c r="AD152" i="37"/>
  <c r="AD148" i="37"/>
  <c r="AD143" i="37"/>
  <c r="AD140" i="37"/>
  <c r="AD137" i="37"/>
  <c r="AD135" i="37"/>
  <c r="AD132" i="37"/>
  <c r="AD129" i="37"/>
  <c r="AD126" i="37"/>
  <c r="AD124" i="37"/>
  <c r="AD120" i="37"/>
  <c r="AD117" i="37"/>
  <c r="AD115" i="37"/>
  <c r="AD21" i="37"/>
  <c r="AD47" i="37"/>
  <c r="AD108" i="37"/>
  <c r="AD76" i="37"/>
  <c r="AD20" i="37"/>
  <c r="AD100" i="37"/>
  <c r="AD97" i="37"/>
  <c r="AD93" i="37"/>
  <c r="AD91" i="37"/>
  <c r="AD88" i="37"/>
  <c r="AD86" i="37"/>
  <c r="AD14" i="37"/>
  <c r="AD80" i="37"/>
  <c r="AP13" i="37"/>
  <c r="AP77" i="37"/>
  <c r="AP161" i="37"/>
  <c r="AP171" i="37"/>
  <c r="AP193" i="37"/>
  <c r="AP209" i="37"/>
  <c r="AO71" i="37"/>
  <c r="AO112" i="37"/>
  <c r="AO130" i="37"/>
  <c r="AO141" i="37"/>
  <c r="AP86" i="37"/>
  <c r="AP76" i="37"/>
  <c r="AP21" i="37"/>
  <c r="AP120" i="37"/>
  <c r="AP143" i="37"/>
  <c r="AP42" i="37"/>
  <c r="AP188" i="37"/>
  <c r="AO89" i="37"/>
  <c r="AO98" i="37"/>
  <c r="AP34" i="37"/>
  <c r="AP38" i="37"/>
  <c r="AP109" i="37"/>
  <c r="AP114" i="37"/>
  <c r="AP24" i="37"/>
  <c r="AP74" i="37"/>
  <c r="AP160" i="37"/>
  <c r="AP169" i="37"/>
  <c r="AP191" i="37"/>
  <c r="AO83" i="37"/>
  <c r="AO36" i="37"/>
  <c r="AO103" i="37"/>
  <c r="AO55" i="37"/>
  <c r="AO128" i="37"/>
  <c r="AP37" i="37"/>
  <c r="AP105" i="37"/>
  <c r="AP43" i="37"/>
  <c r="AP131" i="37"/>
  <c r="AP17" i="37"/>
  <c r="AO134" i="37"/>
  <c r="AO162" i="37"/>
  <c r="AO210" i="37"/>
  <c r="AN53" i="37"/>
  <c r="AN76" i="37"/>
  <c r="AN120" i="37"/>
  <c r="AN145" i="37"/>
  <c r="AN52" i="37"/>
  <c r="AO86" i="37"/>
  <c r="AO143" i="37"/>
  <c r="AO189" i="37"/>
  <c r="AN80" i="37"/>
  <c r="AN112" i="37"/>
  <c r="AN155" i="37"/>
  <c r="AF72" i="37"/>
  <c r="AE72" i="37"/>
  <c r="AG72" i="37"/>
  <c r="AJ72" i="37"/>
  <c r="AH72" i="37"/>
  <c r="AK72" i="37"/>
  <c r="AI72" i="37"/>
  <c r="AL72" i="37"/>
  <c r="AM72" i="37"/>
  <c r="AG22" i="37"/>
  <c r="AE22" i="37"/>
  <c r="AF22" i="37"/>
  <c r="AJ22" i="37"/>
  <c r="AH22" i="37"/>
  <c r="AK22" i="37"/>
  <c r="AN22" i="37"/>
  <c r="AM22" i="37"/>
  <c r="AG62" i="37"/>
  <c r="AE62" i="37"/>
  <c r="AH62" i="37"/>
  <c r="AI62" i="37"/>
  <c r="AJ62" i="37"/>
  <c r="AL62" i="37"/>
  <c r="AN62" i="37"/>
  <c r="AK62" i="37"/>
  <c r="AM62" i="37"/>
  <c r="AF41" i="37"/>
  <c r="AG41" i="37"/>
  <c r="AE41" i="37"/>
  <c r="AJ41" i="37"/>
  <c r="AI41" i="37"/>
  <c r="AK41" i="37"/>
  <c r="AO41" i="37"/>
  <c r="AF190" i="37"/>
  <c r="AG190" i="37"/>
  <c r="AE190" i="37"/>
  <c r="AJ190" i="37"/>
  <c r="AH190" i="37"/>
  <c r="AI190" i="37"/>
  <c r="AK190" i="37"/>
  <c r="AO190" i="37"/>
  <c r="AL190" i="37"/>
  <c r="AM190" i="37"/>
  <c r="AN190" i="37"/>
  <c r="AE106" i="37"/>
  <c r="AF106" i="37"/>
  <c r="AG106" i="37"/>
  <c r="AI106" i="37"/>
  <c r="AH106" i="37"/>
  <c r="AJ106" i="37"/>
  <c r="AK106" i="37"/>
  <c r="AL106" i="37"/>
  <c r="AM106" i="37"/>
  <c r="AN106" i="37"/>
  <c r="AG124" i="37"/>
  <c r="AF124" i="37"/>
  <c r="AE124" i="37"/>
  <c r="AH124" i="37"/>
  <c r="AI124" i="37"/>
  <c r="AJ124" i="37"/>
  <c r="AK124" i="37"/>
  <c r="AL124" i="37"/>
  <c r="AM124" i="37"/>
  <c r="AE56" i="37"/>
  <c r="AG56" i="37"/>
  <c r="AI56" i="37"/>
  <c r="AH56" i="37"/>
  <c r="AJ56" i="37"/>
  <c r="AL56" i="37"/>
  <c r="AM56" i="37"/>
  <c r="AK56" i="37"/>
  <c r="AN56" i="37"/>
  <c r="AF29" i="37"/>
  <c r="AG29" i="37"/>
  <c r="AE29" i="37"/>
  <c r="AH29" i="37"/>
  <c r="AK29" i="37"/>
  <c r="AI29" i="37"/>
  <c r="AJ29" i="37"/>
  <c r="AO29" i="37"/>
  <c r="AN29" i="37"/>
  <c r="AL29" i="37"/>
  <c r="AE168" i="37"/>
  <c r="AG168" i="37"/>
  <c r="AF168" i="37"/>
  <c r="AH168" i="37"/>
  <c r="AJ168" i="37"/>
  <c r="AI168" i="37"/>
  <c r="AL168" i="37"/>
  <c r="AK168" i="37"/>
  <c r="AM168" i="37"/>
  <c r="AN168" i="37"/>
  <c r="AF25" i="37"/>
  <c r="AG25" i="37"/>
  <c r="AE25" i="37"/>
  <c r="AJ25" i="37"/>
  <c r="AL25" i="37"/>
  <c r="AH25" i="37"/>
  <c r="AI25" i="37"/>
  <c r="AK25" i="37"/>
  <c r="AO25" i="37"/>
  <c r="AM25" i="37"/>
  <c r="AG178" i="37"/>
  <c r="AF178" i="37"/>
  <c r="AE178" i="37"/>
  <c r="AH178" i="37"/>
  <c r="AJ178" i="37"/>
  <c r="AI178" i="37"/>
  <c r="AL178" i="37"/>
  <c r="AK178" i="37"/>
  <c r="AM178" i="37"/>
  <c r="AN178" i="37"/>
  <c r="AO178" i="37"/>
  <c r="AG122" i="37"/>
  <c r="AE122" i="37"/>
  <c r="AF122" i="37"/>
  <c r="AI122" i="37"/>
  <c r="AJ122" i="37"/>
  <c r="AH122" i="37"/>
  <c r="AK122" i="37"/>
  <c r="AL122" i="37"/>
  <c r="AN122" i="37"/>
  <c r="AM122" i="37"/>
  <c r="AH102" i="37"/>
  <c r="AE102" i="37"/>
  <c r="AG102" i="37"/>
  <c r="AF102" i="37"/>
  <c r="AI102" i="37"/>
  <c r="AJ102" i="37"/>
  <c r="AL102" i="37"/>
  <c r="AN102" i="37"/>
  <c r="AK102" i="37"/>
  <c r="AM102" i="37"/>
  <c r="AE76" i="37"/>
  <c r="AG76" i="37"/>
  <c r="AF76" i="37"/>
  <c r="AJ76" i="37"/>
  <c r="AH76" i="37"/>
  <c r="AI76" i="37"/>
  <c r="AK76" i="37"/>
  <c r="AM76" i="37"/>
  <c r="AL76" i="37"/>
  <c r="AF136" i="37"/>
  <c r="AG136" i="37"/>
  <c r="AE136" i="37"/>
  <c r="AI136" i="37"/>
  <c r="AJ136" i="37"/>
  <c r="AH136" i="37"/>
  <c r="AL136" i="37"/>
  <c r="AK136" i="37"/>
  <c r="AM136" i="37"/>
  <c r="AN136" i="37"/>
  <c r="AF99" i="37"/>
  <c r="AE99" i="37"/>
  <c r="AG99" i="37"/>
  <c r="AH99" i="37"/>
  <c r="AI99" i="37"/>
  <c r="AJ99" i="37"/>
  <c r="AK99" i="37"/>
  <c r="AL99" i="37"/>
  <c r="AM99" i="37"/>
  <c r="AN99" i="37"/>
  <c r="AG27" i="37"/>
  <c r="AE27" i="37"/>
  <c r="AF27" i="37"/>
  <c r="AH27" i="37"/>
  <c r="AI27" i="37"/>
  <c r="AJ27" i="37"/>
  <c r="AM27" i="37"/>
  <c r="AL27" i="37"/>
  <c r="AK27" i="37"/>
  <c r="AF138" i="37"/>
  <c r="AG138" i="37"/>
  <c r="AE138" i="37"/>
  <c r="AH138" i="37"/>
  <c r="AK138" i="37"/>
  <c r="AJ138" i="37"/>
  <c r="AO138" i="37"/>
  <c r="AN138" i="37"/>
  <c r="AL138" i="37"/>
  <c r="AM138" i="37"/>
  <c r="AE132" i="37"/>
  <c r="AG132" i="37"/>
  <c r="AF132" i="37"/>
  <c r="AH132" i="37"/>
  <c r="AI132" i="37"/>
  <c r="AJ132" i="37"/>
  <c r="AK132" i="37"/>
  <c r="AL132" i="37"/>
  <c r="AM132" i="37"/>
  <c r="AF23" i="37"/>
  <c r="AG23" i="37"/>
  <c r="AE23" i="37"/>
  <c r="AI23" i="37"/>
  <c r="AJ23" i="37"/>
  <c r="AH23" i="37"/>
  <c r="AK23" i="37"/>
  <c r="AL23" i="37"/>
  <c r="AM23" i="37"/>
  <c r="AE127" i="37"/>
  <c r="AG127" i="37"/>
  <c r="AF127" i="37"/>
  <c r="AI127" i="37"/>
  <c r="AJ127" i="37"/>
  <c r="AH127" i="37"/>
  <c r="AK127" i="37"/>
  <c r="AL127" i="37"/>
  <c r="AN127" i="37"/>
  <c r="AM127" i="37"/>
  <c r="AE152" i="37"/>
  <c r="AG152" i="37"/>
  <c r="AF152" i="37"/>
  <c r="AJ152" i="37"/>
  <c r="AI152" i="37"/>
  <c r="AH152" i="37"/>
  <c r="AM152" i="37"/>
  <c r="AN152" i="37"/>
  <c r="AL152" i="37"/>
  <c r="AK152" i="37"/>
  <c r="AE159" i="37"/>
  <c r="AG159" i="37"/>
  <c r="AF159" i="37"/>
  <c r="AH159" i="37"/>
  <c r="AJ159" i="37"/>
  <c r="AI159" i="37"/>
  <c r="AL159" i="37"/>
  <c r="AK159" i="37"/>
  <c r="AM159" i="37"/>
  <c r="AN159" i="37"/>
  <c r="AF174" i="37"/>
  <c r="AE174" i="37"/>
  <c r="AG174" i="37"/>
  <c r="AK174" i="37"/>
  <c r="AI174" i="37"/>
  <c r="AJ174" i="37"/>
  <c r="AH174" i="37"/>
  <c r="AL174" i="37"/>
  <c r="AO174" i="37"/>
  <c r="AM174" i="37"/>
  <c r="AN174" i="37"/>
  <c r="AF67" i="37"/>
  <c r="AG67" i="37"/>
  <c r="AE67" i="37"/>
  <c r="AK67" i="37"/>
  <c r="AJ67" i="37"/>
  <c r="AL67" i="37"/>
  <c r="AH67" i="37"/>
  <c r="AI67" i="37"/>
  <c r="AO67" i="37"/>
  <c r="AM67" i="37"/>
  <c r="AN67" i="37"/>
  <c r="AF165" i="37"/>
  <c r="AG165" i="37"/>
  <c r="AE165" i="37"/>
  <c r="AH165" i="37"/>
  <c r="AJ165" i="37"/>
  <c r="AI165" i="37"/>
  <c r="AK165" i="37"/>
  <c r="AO165" i="37"/>
  <c r="AN165" i="37"/>
  <c r="AM165" i="37"/>
  <c r="AL165" i="37"/>
  <c r="AG202" i="37"/>
  <c r="AE202" i="37"/>
  <c r="AF202" i="37"/>
  <c r="AH202" i="37"/>
  <c r="AI202" i="37"/>
  <c r="AJ202" i="37"/>
  <c r="AK202" i="37"/>
  <c r="AM202" i="37"/>
  <c r="AL202" i="37"/>
  <c r="AN202" i="37"/>
  <c r="AO202" i="37"/>
  <c r="AG135" i="37"/>
  <c r="AF135" i="37"/>
  <c r="AE135" i="37"/>
  <c r="AH135" i="37"/>
  <c r="AI135" i="37"/>
  <c r="AJ135" i="37"/>
  <c r="AM135" i="37"/>
  <c r="AK135" i="37"/>
  <c r="AL135" i="37"/>
  <c r="AG148" i="37"/>
  <c r="AF148" i="37"/>
  <c r="AE148" i="37"/>
  <c r="AH148" i="37"/>
  <c r="AJ148" i="37"/>
  <c r="AI148" i="37"/>
  <c r="AM148" i="37"/>
  <c r="AN148" i="37"/>
  <c r="AL148" i="37"/>
  <c r="AK148" i="37"/>
  <c r="AG163" i="37"/>
  <c r="AF163" i="37"/>
  <c r="AE163" i="37"/>
  <c r="AH163" i="37"/>
  <c r="AJ163" i="37"/>
  <c r="AL163" i="37"/>
  <c r="AI163" i="37"/>
  <c r="AK163" i="37"/>
  <c r="AM163" i="37"/>
  <c r="AN163" i="37"/>
  <c r="AO163" i="37"/>
  <c r="AF197" i="37"/>
  <c r="AG197" i="37"/>
  <c r="AE197" i="37"/>
  <c r="AJ197" i="37"/>
  <c r="AH197" i="37"/>
  <c r="AI197" i="37"/>
  <c r="AK197" i="37"/>
  <c r="AN197" i="37"/>
  <c r="AO197" i="37"/>
  <c r="AL197" i="37"/>
  <c r="AM197" i="37"/>
  <c r="AE208" i="37"/>
  <c r="AF208" i="37"/>
  <c r="AG208" i="37"/>
  <c r="AH208" i="37"/>
  <c r="AI208" i="37"/>
  <c r="AK208" i="37"/>
  <c r="AJ208" i="37"/>
  <c r="AL208" i="37"/>
  <c r="AN208" i="37"/>
  <c r="AM208" i="37"/>
  <c r="AO208" i="37"/>
  <c r="AE198" i="37"/>
  <c r="AF198" i="37"/>
  <c r="AG198" i="37"/>
  <c r="AJ198" i="37"/>
  <c r="AH198" i="37"/>
  <c r="AI198" i="37"/>
  <c r="AK198" i="37"/>
  <c r="AM198" i="37"/>
  <c r="AL198" i="37"/>
  <c r="AN198" i="37"/>
  <c r="AF196" i="37"/>
  <c r="AG196" i="37"/>
  <c r="AE196" i="37"/>
  <c r="AK196" i="37"/>
  <c r="AJ196" i="37"/>
  <c r="AL196" i="37"/>
  <c r="AH196" i="37"/>
  <c r="AI196" i="37"/>
  <c r="AM196" i="37"/>
  <c r="AO196" i="37"/>
  <c r="AN196" i="37"/>
  <c r="AG203" i="37"/>
  <c r="AE203" i="37"/>
  <c r="AF203" i="37"/>
  <c r="AH203" i="37"/>
  <c r="AI203" i="37"/>
  <c r="AJ203" i="37"/>
  <c r="AL203" i="37"/>
  <c r="AN203" i="37"/>
  <c r="AK203" i="37"/>
  <c r="AM203" i="37"/>
  <c r="AE120" i="37"/>
  <c r="AG120" i="37"/>
  <c r="AF120" i="37"/>
  <c r="AI120" i="37"/>
  <c r="AH120" i="37"/>
  <c r="AJ120" i="37"/>
  <c r="AK120" i="37"/>
  <c r="AL120" i="37"/>
  <c r="AM120" i="37"/>
  <c r="AF93" i="37"/>
  <c r="AE93" i="37"/>
  <c r="AG93" i="37"/>
  <c r="AH93" i="37"/>
  <c r="AJ93" i="37"/>
  <c r="AI93" i="37"/>
  <c r="AK93" i="37"/>
  <c r="AL93" i="37"/>
  <c r="AO93" i="37"/>
  <c r="AM93" i="37"/>
  <c r="AE156" i="37"/>
  <c r="AG156" i="37"/>
  <c r="AF156" i="37"/>
  <c r="AI156" i="37"/>
  <c r="AH156" i="37"/>
  <c r="AJ156" i="37"/>
  <c r="AL156" i="37"/>
  <c r="AK156" i="37"/>
  <c r="AM156" i="37"/>
  <c r="AN156" i="37"/>
  <c r="AO156" i="37"/>
  <c r="AG51" i="37"/>
  <c r="AH51" i="37"/>
  <c r="AF51" i="37"/>
  <c r="AI51" i="37"/>
  <c r="AJ51" i="37"/>
  <c r="AM51" i="37"/>
  <c r="AL51" i="37"/>
  <c r="AK51" i="37"/>
  <c r="AO51" i="37"/>
  <c r="AG30" i="37"/>
  <c r="AF30" i="37"/>
  <c r="AE30" i="37"/>
  <c r="AH30" i="37"/>
  <c r="AJ30" i="37"/>
  <c r="AK30" i="37"/>
  <c r="AM30" i="37"/>
  <c r="AN30" i="37"/>
  <c r="AE91" i="37"/>
  <c r="AG91" i="37"/>
  <c r="AF91" i="37"/>
  <c r="AH91" i="37"/>
  <c r="AI91" i="37"/>
  <c r="AJ91" i="37"/>
  <c r="AM91" i="37"/>
  <c r="AN91" i="37"/>
  <c r="AK91" i="37"/>
  <c r="AL91" i="37"/>
  <c r="AO91" i="37"/>
  <c r="AH79" i="37"/>
  <c r="AF79" i="37"/>
  <c r="AE79" i="37"/>
  <c r="AG79" i="37"/>
  <c r="AK79" i="37"/>
  <c r="AI79" i="37"/>
  <c r="AJ79" i="37"/>
  <c r="AL79" i="37"/>
  <c r="AM79" i="37"/>
  <c r="AN79" i="37"/>
  <c r="AG57" i="37"/>
  <c r="AE57" i="37"/>
  <c r="AH57" i="37"/>
  <c r="AI57" i="37"/>
  <c r="AJ57" i="37"/>
  <c r="AK57" i="37"/>
  <c r="AL57" i="37"/>
  <c r="AM57" i="37"/>
  <c r="AE15" i="37"/>
  <c r="AF15" i="37"/>
  <c r="AG15" i="37"/>
  <c r="AI15" i="37"/>
  <c r="AH15" i="37"/>
  <c r="AK15" i="37"/>
  <c r="AL15" i="37"/>
  <c r="AN15" i="37"/>
  <c r="AM15" i="37"/>
  <c r="AJ15" i="37"/>
  <c r="AF75" i="37"/>
  <c r="AE75" i="37"/>
  <c r="AG75" i="37"/>
  <c r="AI75" i="37"/>
  <c r="AH75" i="37"/>
  <c r="AJ75" i="37"/>
  <c r="AL75" i="37"/>
  <c r="AM75" i="37"/>
  <c r="AN75" i="37"/>
  <c r="AK75" i="37"/>
  <c r="AF70" i="37"/>
  <c r="AG70" i="37"/>
  <c r="AI70" i="37"/>
  <c r="AE70" i="37"/>
  <c r="AJ70" i="37"/>
  <c r="AH70" i="37"/>
  <c r="AK70" i="37"/>
  <c r="AL70" i="37"/>
  <c r="AO70" i="37"/>
  <c r="AM70" i="37"/>
  <c r="AN70" i="37"/>
  <c r="AG158" i="37"/>
  <c r="AE158" i="37"/>
  <c r="AF158" i="37"/>
  <c r="AJ158" i="37"/>
  <c r="AH158" i="37"/>
  <c r="AK158" i="37"/>
  <c r="AL158" i="37"/>
  <c r="AM158" i="37"/>
  <c r="AE12" i="37"/>
  <c r="AF12" i="37"/>
  <c r="AG12" i="37"/>
  <c r="AI12" i="37"/>
  <c r="AJ12" i="37"/>
  <c r="AK12" i="37"/>
  <c r="AL12" i="37"/>
  <c r="AN12" i="37"/>
  <c r="AM12" i="37"/>
  <c r="AF181" i="37"/>
  <c r="AG181" i="37"/>
  <c r="AE181" i="37"/>
  <c r="AH181" i="37"/>
  <c r="AI181" i="37"/>
  <c r="AJ181" i="37"/>
  <c r="AK181" i="37"/>
  <c r="AO181" i="37"/>
  <c r="AN181" i="37"/>
  <c r="AL181" i="37"/>
  <c r="AM181" i="37"/>
  <c r="AE110" i="37"/>
  <c r="AF110" i="37"/>
  <c r="AG110" i="37"/>
  <c r="AK110" i="37"/>
  <c r="AI110" i="37"/>
  <c r="AH110" i="37"/>
  <c r="AJ110" i="37"/>
  <c r="AL110" i="37"/>
  <c r="AN110" i="37"/>
  <c r="AM110" i="37"/>
  <c r="AF85" i="37"/>
  <c r="AE85" i="37"/>
  <c r="AG85" i="37"/>
  <c r="AH85" i="37"/>
  <c r="AI85" i="37"/>
  <c r="AK85" i="37"/>
  <c r="AJ85" i="37"/>
  <c r="AL85" i="37"/>
  <c r="AM85" i="37"/>
  <c r="AN85" i="37"/>
  <c r="AG212" i="37"/>
  <c r="AE212" i="37"/>
  <c r="AF212" i="37"/>
  <c r="AH212" i="37"/>
  <c r="AJ212" i="37"/>
  <c r="AK212" i="37"/>
  <c r="AI212" i="37"/>
  <c r="AL212" i="37"/>
  <c r="AM212" i="37"/>
  <c r="AN212" i="37"/>
  <c r="AE213" i="37"/>
  <c r="AF213" i="37"/>
  <c r="AG213" i="37"/>
  <c r="AI213" i="37"/>
  <c r="AJ213" i="37"/>
  <c r="AH213" i="37"/>
  <c r="AK213" i="37"/>
  <c r="AM213" i="37"/>
  <c r="AN213" i="37"/>
  <c r="AO213" i="37"/>
  <c r="AL213" i="37"/>
  <c r="AF82" i="37"/>
  <c r="AE82" i="37"/>
  <c r="AG82" i="37"/>
  <c r="AI82" i="37"/>
  <c r="AH82" i="37"/>
  <c r="AJ82" i="37"/>
  <c r="AL82" i="37"/>
  <c r="AM82" i="37"/>
  <c r="AN82" i="37"/>
  <c r="AK82" i="37"/>
  <c r="AA213" i="37"/>
  <c r="AA40" i="37"/>
  <c r="AA208" i="37"/>
  <c r="AA204" i="37"/>
  <c r="AA200" i="37"/>
  <c r="AA196" i="37"/>
  <c r="AA192" i="37"/>
  <c r="AA190" i="37"/>
  <c r="AA25" i="37"/>
  <c r="AA67" i="37"/>
  <c r="AA66" i="37"/>
  <c r="AA179" i="37"/>
  <c r="AA70" i="37"/>
  <c r="AA174" i="37"/>
  <c r="AA170" i="37"/>
  <c r="AA52" i="37"/>
  <c r="AA17" i="37"/>
  <c r="AA164" i="37"/>
  <c r="AA50" i="37"/>
  <c r="AA158" i="37"/>
  <c r="AA154" i="37"/>
  <c r="AA150" i="37"/>
  <c r="AA147" i="37"/>
  <c r="AA145" i="37"/>
  <c r="AA41" i="37"/>
  <c r="AA138" i="37"/>
  <c r="AA49" i="37"/>
  <c r="AA133" i="37"/>
  <c r="AA130" i="37"/>
  <c r="AA127" i="37"/>
  <c r="AA24" i="37"/>
  <c r="AA121" i="37"/>
  <c r="AA72" i="37"/>
  <c r="AA115" i="37"/>
  <c r="AA57" i="37"/>
  <c r="AA21" i="37"/>
  <c r="AA47" i="37"/>
  <c r="AA69" i="37"/>
  <c r="AA54" i="37"/>
  <c r="AA104" i="37"/>
  <c r="AA101" i="37"/>
  <c r="AA38" i="37"/>
  <c r="AA94" i="37"/>
  <c r="AA71" i="37"/>
  <c r="AA19" i="37"/>
  <c r="AA15" i="37"/>
  <c r="AA12" i="37"/>
  <c r="AA84" i="37"/>
  <c r="AA81" i="37"/>
  <c r="AA34" i="37"/>
  <c r="AB68" i="37"/>
  <c r="AB209" i="37"/>
  <c r="AB205" i="37"/>
  <c r="AB201" i="37"/>
  <c r="AB197" i="37"/>
  <c r="AB193" i="37"/>
  <c r="AB26" i="37"/>
  <c r="AB187" i="37"/>
  <c r="AB184" i="37"/>
  <c r="AB181" i="37"/>
  <c r="AB180" i="37"/>
  <c r="AB177" i="37"/>
  <c r="AB61" i="37"/>
  <c r="AB171" i="37"/>
  <c r="AB46" i="37"/>
  <c r="AB51" i="37"/>
  <c r="AB165" i="37"/>
  <c r="AB161" i="37"/>
  <c r="AB63" i="37"/>
  <c r="AB155" i="37"/>
  <c r="AB151" i="37"/>
  <c r="AB60" i="37"/>
  <c r="AB45" i="37"/>
  <c r="AB142" i="37"/>
  <c r="AB139" i="37"/>
  <c r="AB136" i="37"/>
  <c r="AB59" i="37"/>
  <c r="AB131" i="37"/>
  <c r="AB29" i="37"/>
  <c r="AB24" i="37"/>
  <c r="AB121" i="37"/>
  <c r="AB117" i="37"/>
  <c r="AB115" i="37"/>
  <c r="AB57" i="37"/>
  <c r="AB21" i="37"/>
  <c r="AB47" i="37"/>
  <c r="AB69" i="37"/>
  <c r="AB108" i="37"/>
  <c r="AB76" i="37"/>
  <c r="AB20" i="37"/>
  <c r="AB100" i="37"/>
  <c r="AB97" i="37"/>
  <c r="AB35" i="37"/>
  <c r="AB36" i="37"/>
  <c r="AB90" i="37"/>
  <c r="AB53" i="37"/>
  <c r="AB32" i="37"/>
  <c r="AB83" i="37"/>
  <c r="AB13" i="37"/>
  <c r="AC212" i="37"/>
  <c r="AC211" i="37"/>
  <c r="AC207" i="37"/>
  <c r="AC203" i="37"/>
  <c r="AC199" i="37"/>
  <c r="AC195" i="37"/>
  <c r="AC191" i="37"/>
  <c r="AC189" i="37"/>
  <c r="AC186" i="37"/>
  <c r="AC183" i="37"/>
  <c r="AC62" i="37"/>
  <c r="AC18" i="37"/>
  <c r="AC175" i="37"/>
  <c r="AC171" i="37"/>
  <c r="AC46" i="37"/>
  <c r="AC28" i="37"/>
  <c r="AC163" i="37"/>
  <c r="AC159" i="37"/>
  <c r="AC155" i="37"/>
  <c r="AC151" i="37"/>
  <c r="AC60" i="37"/>
  <c r="AC145" i="37"/>
  <c r="AC41" i="37"/>
  <c r="AC138" i="37"/>
  <c r="AC49" i="37"/>
  <c r="AC133" i="37"/>
  <c r="AC130" i="37"/>
  <c r="AC127" i="37"/>
  <c r="AC24" i="37"/>
  <c r="AC121" i="37"/>
  <c r="AC65" i="37"/>
  <c r="AC58" i="37"/>
  <c r="AC22" i="37"/>
  <c r="AC47" i="37"/>
  <c r="AC110" i="37"/>
  <c r="AC107" i="37"/>
  <c r="AC105" i="37"/>
  <c r="AC102" i="37"/>
  <c r="AC98" i="37"/>
  <c r="AC94" i="37"/>
  <c r="AC36" i="37"/>
  <c r="AC90" i="37"/>
  <c r="AC53" i="37"/>
  <c r="AC32" i="37"/>
  <c r="AC83" i="37"/>
  <c r="AC79" i="37"/>
  <c r="AD209" i="37"/>
  <c r="AD205" i="37"/>
  <c r="AD201" i="37"/>
  <c r="AD197" i="37"/>
  <c r="AD193" i="37"/>
  <c r="AD26" i="37"/>
  <c r="AD187" i="37"/>
  <c r="AD184" i="37"/>
  <c r="AD181" i="37"/>
  <c r="AD180" i="37"/>
  <c r="AD177" i="37"/>
  <c r="AD61" i="37"/>
  <c r="AD171" i="37"/>
  <c r="AD46" i="37"/>
  <c r="AD51" i="37"/>
  <c r="AD165" i="37"/>
  <c r="AD161" i="37"/>
  <c r="AD155" i="37"/>
  <c r="AD151" i="37"/>
  <c r="AD60" i="37"/>
  <c r="AD45" i="37"/>
  <c r="AD142" i="37"/>
  <c r="AD139" i="37"/>
  <c r="AD136" i="37"/>
  <c r="AD134" i="37"/>
  <c r="AD39" i="37"/>
  <c r="AD128" i="37"/>
  <c r="AD73" i="37"/>
  <c r="AD123" i="37"/>
  <c r="AD119" i="37"/>
  <c r="AD78" i="37"/>
  <c r="AD23" i="37"/>
  <c r="AD113" i="37"/>
  <c r="AD55" i="37"/>
  <c r="AD77" i="37"/>
  <c r="AD54" i="37"/>
  <c r="AD75" i="37"/>
  <c r="AD103" i="37"/>
  <c r="AD99" i="37"/>
  <c r="AD96" i="37"/>
  <c r="AD48" i="37"/>
  <c r="AD90" i="37"/>
  <c r="AD53" i="37"/>
  <c r="AD32" i="37"/>
  <c r="AD83" i="37"/>
  <c r="AD13" i="37"/>
  <c r="AP83" i="37"/>
  <c r="AP36" i="37"/>
  <c r="AP103" i="37"/>
  <c r="AP55" i="37"/>
  <c r="AP78" i="37"/>
  <c r="AP128" i="37"/>
  <c r="AP151" i="37"/>
  <c r="AP165" i="37"/>
  <c r="AP61" i="37"/>
  <c r="AP197" i="37"/>
  <c r="AP68" i="37"/>
  <c r="AO12" i="37"/>
  <c r="AO94" i="37"/>
  <c r="AO106" i="37"/>
  <c r="AO56" i="37"/>
  <c r="AO133" i="37"/>
  <c r="AO144" i="37"/>
  <c r="AP88" i="37"/>
  <c r="AP97" i="37"/>
  <c r="AP108" i="37"/>
  <c r="AP57" i="37"/>
  <c r="AP124" i="37"/>
  <c r="AP135" i="37"/>
  <c r="AP33" i="37"/>
  <c r="AP159" i="37"/>
  <c r="AP168" i="37"/>
  <c r="AP30" i="37"/>
  <c r="AP27" i="37"/>
  <c r="AP206" i="37"/>
  <c r="AO82" i="37"/>
  <c r="AO92" i="37"/>
  <c r="AO102" i="37"/>
  <c r="AO64" i="37"/>
  <c r="AO65" i="37"/>
  <c r="AP19" i="37"/>
  <c r="AP101" i="37"/>
  <c r="AP127" i="37"/>
  <c r="AP16" i="37"/>
  <c r="AP149" i="37"/>
  <c r="AP163" i="37"/>
  <c r="AP195" i="37"/>
  <c r="AO32" i="37"/>
  <c r="AO48" i="37"/>
  <c r="AO44" i="37"/>
  <c r="AO119" i="37"/>
  <c r="AP87" i="37"/>
  <c r="AP95" i="37"/>
  <c r="AP22" i="37"/>
  <c r="AP122" i="37"/>
  <c r="AP145" i="37"/>
  <c r="AP158" i="37"/>
  <c r="AP52" i="37"/>
  <c r="AP190" i="37"/>
  <c r="AO136" i="37"/>
  <c r="AO148" i="37"/>
  <c r="AO166" i="37"/>
  <c r="AO30" i="37"/>
  <c r="AN108" i="37"/>
  <c r="AN124" i="37"/>
  <c r="AN147" i="37"/>
  <c r="AN170" i="37"/>
  <c r="AO88" i="37"/>
  <c r="AO108" i="37"/>
  <c r="AO124" i="37"/>
  <c r="AO33" i="37"/>
  <c r="AN14" i="37"/>
  <c r="AN72" i="37"/>
  <c r="AN51" i="37"/>
  <c r="AF154" i="37"/>
  <c r="AG154" i="37"/>
  <c r="AE154" i="37"/>
  <c r="AJ154" i="37"/>
  <c r="AH154" i="37"/>
  <c r="AI154" i="37"/>
  <c r="AK154" i="37"/>
  <c r="AL154" i="37"/>
  <c r="AO154" i="37"/>
  <c r="AM154" i="37"/>
  <c r="AN154" i="37"/>
  <c r="AE104" i="37"/>
  <c r="AF104" i="37"/>
  <c r="AG104" i="37"/>
  <c r="AJ104" i="37"/>
  <c r="AI104" i="37"/>
  <c r="AK104" i="37"/>
  <c r="AH104" i="37"/>
  <c r="AL104" i="37"/>
  <c r="AM104" i="37"/>
  <c r="AG179" i="37"/>
  <c r="AE179" i="37"/>
  <c r="AF179" i="37"/>
  <c r="AJ179" i="37"/>
  <c r="AI179" i="37"/>
  <c r="AH179" i="37"/>
  <c r="AK179" i="37"/>
  <c r="AL179" i="37"/>
  <c r="AO179" i="37"/>
  <c r="AM179" i="37"/>
  <c r="AF54" i="37"/>
  <c r="AG54" i="37"/>
  <c r="AH54" i="37"/>
  <c r="AI54" i="37"/>
  <c r="AJ54" i="37"/>
  <c r="AM54" i="37"/>
  <c r="AN54" i="37"/>
  <c r="AK54" i="37"/>
  <c r="AL54" i="37"/>
  <c r="AF20" i="37"/>
  <c r="AE20" i="37"/>
  <c r="AG20" i="37"/>
  <c r="AJ20" i="37"/>
  <c r="AI20" i="37"/>
  <c r="AL20" i="37"/>
  <c r="AK20" i="37"/>
  <c r="AO20" i="37"/>
  <c r="AN20" i="37"/>
  <c r="AE146" i="37"/>
  <c r="AG146" i="37"/>
  <c r="AF146" i="37"/>
  <c r="AI146" i="37"/>
  <c r="AH146" i="37"/>
  <c r="AJ146" i="37"/>
  <c r="AL146" i="37"/>
  <c r="AK146" i="37"/>
  <c r="AN146" i="37"/>
  <c r="AM146" i="37"/>
  <c r="AO146" i="37"/>
  <c r="AE117" i="37"/>
  <c r="AH117" i="37"/>
  <c r="AG117" i="37"/>
  <c r="AF117" i="37"/>
  <c r="AJ117" i="37"/>
  <c r="AI117" i="37"/>
  <c r="AK117" i="37"/>
  <c r="AL117" i="37"/>
  <c r="AM117" i="37"/>
  <c r="AO117" i="37"/>
  <c r="AN117" i="37"/>
  <c r="AE123" i="37"/>
  <c r="AF123" i="37"/>
  <c r="AG123" i="37"/>
  <c r="AI123" i="37"/>
  <c r="AH123" i="37"/>
  <c r="AJ123" i="37"/>
  <c r="AM123" i="37"/>
  <c r="AN123" i="37"/>
  <c r="AK123" i="37"/>
  <c r="AL123" i="37"/>
  <c r="AE211" i="37"/>
  <c r="AF211" i="37"/>
  <c r="AG211" i="37"/>
  <c r="AH211" i="37"/>
  <c r="AI211" i="37"/>
  <c r="AJ211" i="37"/>
  <c r="AK211" i="37"/>
  <c r="AM211" i="37"/>
  <c r="AN211" i="37"/>
  <c r="AL211" i="37"/>
  <c r="AO211" i="37"/>
  <c r="AE116" i="37"/>
  <c r="AG116" i="37"/>
  <c r="AF116" i="37"/>
  <c r="AI116" i="37"/>
  <c r="AJ116" i="37"/>
  <c r="AH116" i="37"/>
  <c r="AK116" i="37"/>
  <c r="AM116" i="37"/>
  <c r="AL116" i="37"/>
  <c r="AN116" i="37"/>
  <c r="AG177" i="37"/>
  <c r="AE177" i="37"/>
  <c r="AH177" i="37"/>
  <c r="AF177" i="37"/>
  <c r="AI177" i="37"/>
  <c r="AJ177" i="37"/>
  <c r="AN177" i="37"/>
  <c r="AM177" i="37"/>
  <c r="AL177" i="37"/>
  <c r="AK177" i="37"/>
  <c r="AO177" i="37"/>
  <c r="AG191" i="37"/>
  <c r="AE191" i="37"/>
  <c r="AF191" i="37"/>
  <c r="AH191" i="37"/>
  <c r="AI191" i="37"/>
  <c r="AJ191" i="37"/>
  <c r="AL191" i="37"/>
  <c r="AK191" i="37"/>
  <c r="AM191" i="37"/>
  <c r="AN191" i="37"/>
  <c r="AE31" i="37"/>
  <c r="AF31" i="37"/>
  <c r="AH31" i="37"/>
  <c r="AG31" i="37"/>
  <c r="AI31" i="37"/>
  <c r="AJ31" i="37"/>
  <c r="AN31" i="37"/>
  <c r="AK31" i="37"/>
  <c r="AM31" i="37"/>
  <c r="AF176" i="37"/>
  <c r="AG176" i="37"/>
  <c r="AE176" i="37"/>
  <c r="AH176" i="37"/>
  <c r="AJ176" i="37"/>
  <c r="AI176" i="37"/>
  <c r="AK176" i="37"/>
  <c r="AM176" i="37"/>
  <c r="AN176" i="37"/>
  <c r="AL176" i="37"/>
  <c r="AE100" i="37"/>
  <c r="AG100" i="37"/>
  <c r="AF100" i="37"/>
  <c r="AH100" i="37"/>
  <c r="AI100" i="37"/>
  <c r="AJ100" i="37"/>
  <c r="AL100" i="37"/>
  <c r="AK100" i="37"/>
  <c r="AM100" i="37"/>
  <c r="AO100" i="37"/>
  <c r="AN100" i="37"/>
  <c r="AE26" i="37"/>
  <c r="AF26" i="37"/>
  <c r="AG26" i="37"/>
  <c r="AJ26" i="37"/>
  <c r="AH26" i="37"/>
  <c r="AI26" i="37"/>
  <c r="AL26" i="37"/>
  <c r="AN26" i="37"/>
  <c r="AK26" i="37"/>
  <c r="AO26" i="37"/>
  <c r="AE183" i="37"/>
  <c r="AF183" i="37"/>
  <c r="AG183" i="37"/>
  <c r="AH183" i="37"/>
  <c r="AI183" i="37"/>
  <c r="AJ183" i="37"/>
  <c r="AK183" i="37"/>
  <c r="AN183" i="37"/>
  <c r="AM183" i="37"/>
  <c r="AL183" i="37"/>
  <c r="AO183" i="37"/>
  <c r="AF139" i="37"/>
  <c r="AG139" i="37"/>
  <c r="AE139" i="37"/>
  <c r="AJ139" i="37"/>
  <c r="AI139" i="37"/>
  <c r="AH139" i="37"/>
  <c r="AK139" i="37"/>
  <c r="AM139" i="37"/>
  <c r="AN139" i="37"/>
  <c r="AL139" i="37"/>
  <c r="AG39" i="37"/>
  <c r="AE39" i="37"/>
  <c r="AF39" i="37"/>
  <c r="AI39" i="37"/>
  <c r="AH39" i="37"/>
  <c r="AJ39" i="37"/>
  <c r="AM39" i="37"/>
  <c r="AK39" i="37"/>
  <c r="AL39" i="37"/>
  <c r="AE180" i="37"/>
  <c r="AF180" i="37"/>
  <c r="AG180" i="37"/>
  <c r="AH180" i="37"/>
  <c r="AI180" i="37"/>
  <c r="AJ180" i="37"/>
  <c r="AM180" i="37"/>
  <c r="AL180" i="37"/>
  <c r="AK180" i="37"/>
  <c r="AO180" i="37"/>
  <c r="AN180" i="37"/>
  <c r="AF73" i="37"/>
  <c r="AG73" i="37"/>
  <c r="AE73" i="37"/>
  <c r="AJ73" i="37"/>
  <c r="AI73" i="37"/>
  <c r="AH73" i="37"/>
  <c r="AK73" i="37"/>
  <c r="AL73" i="37"/>
  <c r="AM73" i="37"/>
  <c r="AN73" i="37"/>
  <c r="AE150" i="37"/>
  <c r="AF150" i="37"/>
  <c r="AG150" i="37"/>
  <c r="AK150" i="37"/>
  <c r="AJ150" i="37"/>
  <c r="AH150" i="37"/>
  <c r="AI150" i="37"/>
  <c r="AL150" i="37"/>
  <c r="AO150" i="37"/>
  <c r="AM150" i="37"/>
  <c r="AN150" i="37"/>
  <c r="AG35" i="37"/>
  <c r="AH35" i="37"/>
  <c r="AJ35" i="37"/>
  <c r="AI35" i="37"/>
  <c r="AK35" i="37"/>
  <c r="AF184" i="37"/>
  <c r="AG184" i="37"/>
  <c r="AE184" i="37"/>
  <c r="AH184" i="37"/>
  <c r="AI184" i="37"/>
  <c r="AJ184" i="37"/>
  <c r="AK184" i="37"/>
  <c r="AO184" i="37"/>
  <c r="AN184" i="37"/>
  <c r="AL184" i="37"/>
  <c r="AM184" i="37"/>
  <c r="AE113" i="37"/>
  <c r="AF113" i="37"/>
  <c r="AG113" i="37"/>
  <c r="AH113" i="37"/>
  <c r="AI113" i="37"/>
  <c r="AJ113" i="37"/>
  <c r="AM113" i="37"/>
  <c r="AN113" i="37"/>
  <c r="AK113" i="37"/>
  <c r="AL113" i="37"/>
  <c r="AG169" i="37"/>
  <c r="AE169" i="37"/>
  <c r="AF169" i="37"/>
  <c r="AI169" i="37"/>
  <c r="AH169" i="37"/>
  <c r="AJ169" i="37"/>
  <c r="AL169" i="37"/>
  <c r="AK169" i="37"/>
  <c r="AN169" i="37"/>
  <c r="AM169" i="37"/>
  <c r="AF157" i="37"/>
  <c r="AE157" i="37"/>
  <c r="AG157" i="37"/>
  <c r="AI157" i="37"/>
  <c r="AH157" i="37"/>
  <c r="AJ157" i="37"/>
  <c r="AM157" i="37"/>
  <c r="AN157" i="37"/>
  <c r="AL157" i="37"/>
  <c r="AK157" i="37"/>
  <c r="AE175" i="37"/>
  <c r="AG175" i="37"/>
  <c r="AF175" i="37"/>
  <c r="AJ175" i="37"/>
  <c r="AI175" i="37"/>
  <c r="AH175" i="37"/>
  <c r="AL175" i="37"/>
  <c r="AM175" i="37"/>
  <c r="AN175" i="37"/>
  <c r="AK175" i="37"/>
  <c r="AF50" i="37"/>
  <c r="AG50" i="37"/>
  <c r="AI50" i="37"/>
  <c r="AH50" i="37"/>
  <c r="AK50" i="37"/>
  <c r="AJ50" i="37"/>
  <c r="AM50" i="37"/>
  <c r="AL50" i="37"/>
  <c r="AO50" i="37"/>
  <c r="AF118" i="37"/>
  <c r="AG118" i="37"/>
  <c r="AI118" i="37"/>
  <c r="AJ118" i="37"/>
  <c r="AH118" i="37"/>
  <c r="AK118" i="37"/>
  <c r="AM118" i="37"/>
  <c r="AL118" i="37"/>
  <c r="AN118" i="37"/>
  <c r="AF200" i="37"/>
  <c r="AG200" i="37"/>
  <c r="AE200" i="37"/>
  <c r="AJ200" i="37"/>
  <c r="AL200" i="37"/>
  <c r="AH200" i="37"/>
  <c r="AI200" i="37"/>
  <c r="AK200" i="37"/>
  <c r="AM200" i="37"/>
  <c r="AO200" i="37"/>
  <c r="AN200" i="37"/>
  <c r="AG207" i="37"/>
  <c r="AE207" i="37"/>
  <c r="AF207" i="37"/>
  <c r="AH207" i="37"/>
  <c r="AI207" i="37"/>
  <c r="AJ207" i="37"/>
  <c r="AL207" i="37"/>
  <c r="AK207" i="37"/>
  <c r="AM207" i="37"/>
  <c r="AN207" i="37"/>
  <c r="AE205" i="37"/>
  <c r="AF205" i="37"/>
  <c r="AG205" i="37"/>
  <c r="AH205" i="37"/>
  <c r="AI205" i="37"/>
  <c r="AJ205" i="37"/>
  <c r="AL205" i="37"/>
  <c r="AM205" i="37"/>
  <c r="AK205" i="37"/>
  <c r="AN205" i="37"/>
  <c r="AO205" i="37"/>
  <c r="AF204" i="37"/>
  <c r="AG204" i="37"/>
  <c r="AE204" i="37"/>
  <c r="AJ204" i="37"/>
  <c r="AH204" i="37"/>
  <c r="AI204" i="37"/>
  <c r="AK204" i="37"/>
  <c r="AL204" i="37"/>
  <c r="AM204" i="37"/>
  <c r="AO204" i="37"/>
  <c r="AN204" i="37"/>
  <c r="AG194" i="37"/>
  <c r="AE194" i="37"/>
  <c r="AF194" i="37"/>
  <c r="AH194" i="37"/>
  <c r="AI194" i="37"/>
  <c r="AJ194" i="37"/>
  <c r="AL194" i="37"/>
  <c r="AN194" i="37"/>
  <c r="AK194" i="37"/>
  <c r="AM194" i="37"/>
  <c r="AE66" i="37"/>
  <c r="AF66" i="37"/>
  <c r="AG66" i="37"/>
  <c r="AH66" i="37"/>
  <c r="AI66" i="37"/>
  <c r="AK66" i="37"/>
  <c r="AJ66" i="37"/>
  <c r="AL66" i="37"/>
  <c r="AM66" i="37"/>
  <c r="AN66" i="37"/>
  <c r="AO66" i="37"/>
  <c r="AF18" i="37"/>
  <c r="AG18" i="37"/>
  <c r="AE18" i="37"/>
  <c r="AI18" i="37"/>
  <c r="AH18" i="37"/>
  <c r="AJ18" i="37"/>
  <c r="AM18" i="37"/>
  <c r="AN18" i="37"/>
  <c r="AL18" i="37"/>
  <c r="AK18" i="37"/>
  <c r="AF36" i="37"/>
  <c r="AE36" i="37"/>
  <c r="AH36" i="37"/>
  <c r="AG36" i="37"/>
  <c r="AI36" i="37"/>
  <c r="AK36" i="37"/>
  <c r="AJ36" i="37"/>
  <c r="AE107" i="37"/>
  <c r="AG107" i="37"/>
  <c r="AF107" i="37"/>
  <c r="AI107" i="37"/>
  <c r="AH107" i="37"/>
  <c r="AJ107" i="37"/>
  <c r="AK107" i="37"/>
  <c r="AL107" i="37"/>
  <c r="AN107" i="37"/>
  <c r="AM107" i="37"/>
  <c r="AE129" i="37"/>
  <c r="AH129" i="37"/>
  <c r="AG129" i="37"/>
  <c r="AF129" i="37"/>
  <c r="AJ129" i="37"/>
  <c r="AI129" i="37"/>
  <c r="AK129" i="37"/>
  <c r="AL129" i="37"/>
  <c r="AM129" i="37"/>
  <c r="AO129" i="37"/>
  <c r="AN129" i="37"/>
  <c r="AF90" i="37"/>
  <c r="AE90" i="37"/>
  <c r="AH90" i="37"/>
  <c r="AG90" i="37"/>
  <c r="AI90" i="37"/>
  <c r="AK90" i="37"/>
  <c r="AL90" i="37"/>
  <c r="AM90" i="37"/>
  <c r="AJ90" i="37"/>
  <c r="AN90" i="37"/>
  <c r="AG59" i="37"/>
  <c r="AF59" i="37"/>
  <c r="AI59" i="37"/>
  <c r="AJ59" i="37"/>
  <c r="AH59" i="37"/>
  <c r="AK59" i="37"/>
  <c r="AL59" i="37"/>
  <c r="AM59" i="37"/>
  <c r="AO59" i="37"/>
  <c r="AN59" i="37"/>
  <c r="AE125" i="37"/>
  <c r="AF125" i="37"/>
  <c r="AG125" i="37"/>
  <c r="AH125" i="37"/>
  <c r="AK125" i="37"/>
  <c r="AI125" i="37"/>
  <c r="AJ125" i="37"/>
  <c r="AL125" i="37"/>
  <c r="AM125" i="37"/>
  <c r="AO125" i="37"/>
  <c r="AN125" i="37"/>
  <c r="AE45" i="37"/>
  <c r="AF45" i="37"/>
  <c r="AJ45" i="37"/>
  <c r="AI45" i="37"/>
  <c r="AH45" i="37"/>
  <c r="AM45" i="37"/>
  <c r="AL45" i="37"/>
  <c r="AK45" i="37"/>
  <c r="AN45" i="37"/>
  <c r="AF167" i="37"/>
  <c r="AE167" i="37"/>
  <c r="AG167" i="37"/>
  <c r="AI167" i="37"/>
  <c r="AH167" i="37"/>
  <c r="AJ167" i="37"/>
  <c r="AL167" i="37"/>
  <c r="AM167" i="37"/>
  <c r="AK167" i="37"/>
  <c r="AN167" i="37"/>
  <c r="AF60" i="37"/>
  <c r="AG60" i="37"/>
  <c r="AH60" i="37"/>
  <c r="AJ60" i="37"/>
  <c r="AI60" i="37"/>
  <c r="AL60" i="37"/>
  <c r="AK60" i="37"/>
  <c r="AO60" i="37"/>
  <c r="AN60" i="37"/>
  <c r="AM60" i="37"/>
  <c r="AE172" i="37"/>
  <c r="AG172" i="37"/>
  <c r="AF172" i="37"/>
  <c r="AH172" i="37"/>
  <c r="AJ172" i="37"/>
  <c r="AI172" i="37"/>
  <c r="AK172" i="37"/>
  <c r="AL172" i="37"/>
  <c r="AM172" i="37"/>
  <c r="AN172" i="37"/>
  <c r="AF121" i="37"/>
  <c r="AE121" i="37"/>
  <c r="AG121" i="37"/>
  <c r="AH121" i="37"/>
  <c r="AI121" i="37"/>
  <c r="AJ121" i="37"/>
  <c r="AK121" i="37"/>
  <c r="AM121" i="37"/>
  <c r="AL121" i="37"/>
  <c r="AN121" i="37"/>
  <c r="AE58" i="37"/>
  <c r="AG58" i="37"/>
  <c r="AH58" i="37"/>
  <c r="AK58" i="37"/>
  <c r="AI58" i="37"/>
  <c r="AJ58" i="37"/>
  <c r="AL58" i="37"/>
  <c r="AN58" i="37"/>
  <c r="AM58" i="37"/>
  <c r="AF173" i="37"/>
  <c r="AG173" i="37"/>
  <c r="AE173" i="37"/>
  <c r="AH173" i="37"/>
  <c r="AJ173" i="37"/>
  <c r="AL173" i="37"/>
  <c r="AI173" i="37"/>
  <c r="AK173" i="37"/>
  <c r="AM173" i="37"/>
  <c r="AN173" i="37"/>
  <c r="AO173" i="37"/>
  <c r="AF187" i="37"/>
  <c r="AG187" i="37"/>
  <c r="AE187" i="37"/>
  <c r="AH187" i="37"/>
  <c r="AI187" i="37"/>
  <c r="AJ187" i="37"/>
  <c r="AL187" i="37"/>
  <c r="AM187" i="37"/>
  <c r="AN187" i="37"/>
  <c r="AK187" i="37"/>
  <c r="AE84" i="37"/>
  <c r="AF84" i="37"/>
  <c r="AG84" i="37"/>
  <c r="AH84" i="37"/>
  <c r="AI84" i="37"/>
  <c r="AK84" i="37"/>
  <c r="AM84" i="37"/>
  <c r="AJ84" i="37"/>
  <c r="AL84" i="37"/>
  <c r="AN84" i="37"/>
  <c r="AE111" i="37"/>
  <c r="AF111" i="37"/>
  <c r="AG111" i="37"/>
  <c r="AH111" i="37"/>
  <c r="AJ111" i="37"/>
  <c r="AI111" i="37"/>
  <c r="AK111" i="37"/>
  <c r="AM111" i="37"/>
  <c r="AN111" i="37"/>
  <c r="AL111" i="37"/>
  <c r="AG81" i="37"/>
  <c r="AE81" i="37"/>
  <c r="AF81" i="37"/>
  <c r="AH81" i="37"/>
  <c r="AI81" i="37"/>
  <c r="AK81" i="37"/>
  <c r="AL81" i="37"/>
  <c r="AN81" i="37"/>
  <c r="AM81" i="37"/>
  <c r="AJ81" i="37"/>
  <c r="AA212" i="37"/>
  <c r="AA211" i="37"/>
  <c r="AA207" i="37"/>
  <c r="AA203" i="37"/>
  <c r="AA199" i="37"/>
  <c r="AA195" i="37"/>
  <c r="AA191" i="37"/>
  <c r="AA189" i="37"/>
  <c r="AA186" i="37"/>
  <c r="AA183" i="37"/>
  <c r="AA62" i="37"/>
  <c r="AA18" i="37"/>
  <c r="AA176" i="37"/>
  <c r="AA173" i="37"/>
  <c r="AA169" i="37"/>
  <c r="AA167" i="37"/>
  <c r="AA28" i="37"/>
  <c r="AA163" i="37"/>
  <c r="AA160" i="37"/>
  <c r="AA157" i="37"/>
  <c r="AA153" i="37"/>
  <c r="AA149" i="37"/>
  <c r="AA146" i="37"/>
  <c r="AA144" i="37"/>
  <c r="AA141" i="37"/>
  <c r="AA16" i="37"/>
  <c r="AA135" i="37"/>
  <c r="AA132" i="37"/>
  <c r="AA129" i="37"/>
  <c r="AA126" i="37"/>
  <c r="AA124" i="37"/>
  <c r="AA120" i="37"/>
  <c r="AA117" i="37"/>
  <c r="AA23" i="37"/>
  <c r="AA113" i="37"/>
  <c r="AA44" i="37"/>
  <c r="AA55" i="37"/>
  <c r="AA110" i="37"/>
  <c r="AA107" i="37"/>
  <c r="AA20" i="37"/>
  <c r="AA100" i="37"/>
  <c r="AA97" i="37"/>
  <c r="AA35" i="37"/>
  <c r="AA93" i="37"/>
  <c r="AA91" i="37"/>
  <c r="AA88" i="37"/>
  <c r="AA86" i="37"/>
  <c r="AA14" i="37"/>
  <c r="AA80" i="37"/>
  <c r="AB213" i="37"/>
  <c r="AB40" i="37"/>
  <c r="AB208" i="37"/>
  <c r="AB204" i="37"/>
  <c r="AB200" i="37"/>
  <c r="AB196" i="37"/>
  <c r="AB192" i="37"/>
  <c r="AB190" i="37"/>
  <c r="AB25" i="37"/>
  <c r="AB67" i="37"/>
  <c r="AB66" i="37"/>
  <c r="AB179" i="37"/>
  <c r="AB70" i="37"/>
  <c r="AB174" i="37"/>
  <c r="AB170" i="37"/>
  <c r="AB52" i="37"/>
  <c r="AB17" i="37"/>
  <c r="AB164" i="37"/>
  <c r="AB50" i="37"/>
  <c r="AB158" i="37"/>
  <c r="AB154" i="37"/>
  <c r="AB150" i="37"/>
  <c r="AB147" i="37"/>
  <c r="AB145" i="37"/>
  <c r="AB41" i="37"/>
  <c r="AB138" i="37"/>
  <c r="AB49" i="37"/>
  <c r="AB133" i="37"/>
  <c r="AB130" i="37"/>
  <c r="AB127" i="37"/>
  <c r="AB124" i="37"/>
  <c r="AB120" i="37"/>
  <c r="AB78" i="37"/>
  <c r="AB23" i="37"/>
  <c r="AB113" i="37"/>
  <c r="AB44" i="37"/>
  <c r="AB55" i="37"/>
  <c r="AB77" i="37"/>
  <c r="AB54" i="37"/>
  <c r="AB75" i="37"/>
  <c r="AB103" i="37"/>
  <c r="AB99" i="37"/>
  <c r="AB96" i="37"/>
  <c r="AB48" i="37"/>
  <c r="AB92" i="37"/>
  <c r="AB89" i="37"/>
  <c r="AB87" i="37"/>
  <c r="AB85" i="37"/>
  <c r="AB82" i="37"/>
  <c r="AB79" i="37"/>
  <c r="AC31" i="37"/>
  <c r="AC210" i="37"/>
  <c r="AC206" i="37"/>
  <c r="AC202" i="37"/>
  <c r="AC198" i="37"/>
  <c r="AC194" i="37"/>
  <c r="AC27" i="37"/>
  <c r="AC188" i="37"/>
  <c r="AC185" i="37"/>
  <c r="AC182" i="37"/>
  <c r="AC30" i="37"/>
  <c r="AC178" i="37"/>
  <c r="AC174" i="37"/>
  <c r="AC170" i="37"/>
  <c r="AC167" i="37"/>
  <c r="AC166" i="37"/>
  <c r="AC162" i="37"/>
  <c r="AC158" i="37"/>
  <c r="AC154" i="37"/>
  <c r="AC150" i="37"/>
  <c r="AC147" i="37"/>
  <c r="AC144" i="37"/>
  <c r="AC141" i="37"/>
  <c r="AC16" i="37"/>
  <c r="AC135" i="37"/>
  <c r="AC132" i="37"/>
  <c r="AC129" i="37"/>
  <c r="AC126" i="37"/>
  <c r="AC124" i="37"/>
  <c r="AC120" i="37"/>
  <c r="AC116" i="37"/>
  <c r="AC114" i="37"/>
  <c r="AC56" i="37"/>
  <c r="AC55" i="37"/>
  <c r="AC109" i="37"/>
  <c r="AC106" i="37"/>
  <c r="AC104" i="37"/>
  <c r="AC101" i="37"/>
  <c r="AC38" i="37"/>
  <c r="AC48" i="37"/>
  <c r="AC92" i="37"/>
  <c r="AC89" i="37"/>
  <c r="AC87" i="37"/>
  <c r="AC85" i="37"/>
  <c r="AC82" i="37"/>
  <c r="AD213" i="37"/>
  <c r="AD40" i="37"/>
  <c r="AD208" i="37"/>
  <c r="AD204" i="37"/>
  <c r="AD200" i="37"/>
  <c r="AD196" i="37"/>
  <c r="AD192" i="37"/>
  <c r="AD190" i="37"/>
  <c r="AD25" i="37"/>
  <c r="AD179" i="37"/>
  <c r="AD70" i="37"/>
  <c r="AD174" i="37"/>
  <c r="AD170" i="37"/>
  <c r="AD52" i="37"/>
  <c r="AD17" i="37"/>
  <c r="AD164" i="37"/>
  <c r="AD50" i="37"/>
  <c r="AD158" i="37"/>
  <c r="AD154" i="37"/>
  <c r="AD150" i="37"/>
  <c r="AD147" i="37"/>
  <c r="AD145" i="37"/>
  <c r="AD41" i="37"/>
  <c r="AD138" i="37"/>
  <c r="AD49" i="37"/>
  <c r="AD59" i="37"/>
  <c r="AD131" i="37"/>
  <c r="AD29" i="37"/>
  <c r="AD122" i="37"/>
  <c r="AD118" i="37"/>
  <c r="AD58" i="37"/>
  <c r="AD22" i="37"/>
  <c r="AD110" i="37"/>
  <c r="AD107" i="37"/>
  <c r="AD105" i="37"/>
  <c r="AD102" i="37"/>
  <c r="AD98" i="37"/>
  <c r="AD95" i="37"/>
  <c r="AD37" i="37"/>
  <c r="AD92" i="37"/>
  <c r="AD89" i="37"/>
  <c r="AD87" i="37"/>
  <c r="AD85" i="37"/>
  <c r="AD82" i="37"/>
  <c r="AD79" i="37"/>
  <c r="AP32" i="37"/>
  <c r="AP48" i="37"/>
  <c r="AP75" i="37"/>
  <c r="AP44" i="37"/>
  <c r="AP119" i="37"/>
  <c r="AP39" i="37"/>
  <c r="AP142" i="37"/>
  <c r="AP155" i="37"/>
  <c r="AP51" i="37"/>
  <c r="AP177" i="37"/>
  <c r="AP187" i="37"/>
  <c r="AP201" i="37"/>
  <c r="AO34" i="37"/>
  <c r="AO15" i="37"/>
  <c r="AO38" i="37"/>
  <c r="AO109" i="37"/>
  <c r="AO114" i="37"/>
  <c r="AO24" i="37"/>
  <c r="AP80" i="37"/>
  <c r="AP91" i="37"/>
  <c r="AP100" i="37"/>
  <c r="AP69" i="37"/>
  <c r="AP115" i="37"/>
  <c r="AP126" i="37"/>
  <c r="AP137" i="37"/>
  <c r="AP148" i="37"/>
  <c r="AP162" i="37"/>
  <c r="AP172" i="37"/>
  <c r="AP182" i="37"/>
  <c r="AP194" i="37"/>
  <c r="AP210" i="37"/>
  <c r="AO85" i="37"/>
  <c r="AO37" i="37"/>
  <c r="AO105" i="37"/>
  <c r="AO43" i="37"/>
  <c r="AO118" i="37"/>
  <c r="AP84" i="37"/>
  <c r="AP71" i="37"/>
  <c r="AP104" i="37"/>
  <c r="AP112" i="37"/>
  <c r="AP72" i="37"/>
  <c r="AP130" i="37"/>
  <c r="AP141" i="37"/>
  <c r="AP153" i="37"/>
  <c r="AP28" i="37"/>
  <c r="AP176" i="37"/>
  <c r="AP186" i="37"/>
  <c r="AP199" i="37"/>
  <c r="AP212" i="37"/>
  <c r="AO53" i="37"/>
  <c r="AO96" i="37"/>
  <c r="AO54" i="37"/>
  <c r="AO113" i="37"/>
  <c r="AO123" i="37"/>
  <c r="AP79" i="37"/>
  <c r="AP89" i="37"/>
  <c r="AP98" i="37"/>
  <c r="AP110" i="37"/>
  <c r="AP58" i="37"/>
  <c r="AP125" i="37"/>
  <c r="AP49" i="37"/>
  <c r="AP147" i="37"/>
  <c r="AP50" i="37"/>
  <c r="AP170" i="37"/>
  <c r="AP66" i="37"/>
  <c r="AP192" i="37"/>
  <c r="AP208" i="37"/>
  <c r="AO139" i="37"/>
  <c r="AO168" i="37"/>
  <c r="AO182" i="37"/>
  <c r="AO198" i="37"/>
  <c r="AN83" i="37"/>
  <c r="AN48" i="37"/>
  <c r="AN21" i="37"/>
  <c r="AN132" i="37"/>
  <c r="AN158" i="37"/>
  <c r="AN179" i="37"/>
  <c r="AO35" i="37"/>
  <c r="AO21" i="37"/>
  <c r="AO132" i="37"/>
  <c r="AO157" i="37"/>
  <c r="AO203" i="37"/>
  <c r="AN93" i="37"/>
  <c r="AN130" i="37"/>
  <c r="AO158" i="37"/>
  <c r="J183" i="37"/>
  <c r="J82" i="37"/>
  <c r="J107" i="37"/>
  <c r="J131" i="37"/>
  <c r="J154" i="37"/>
  <c r="J85" i="37"/>
  <c r="J136" i="37"/>
  <c r="J101" i="37"/>
  <c r="J184" i="37"/>
  <c r="J103" i="37"/>
  <c r="J99" i="37"/>
  <c r="J195" i="37"/>
  <c r="J211" i="37"/>
  <c r="J191" i="37"/>
  <c r="J173" i="37"/>
  <c r="J167" i="37"/>
  <c r="J163" i="37"/>
  <c r="J149" i="37"/>
  <c r="J144" i="37"/>
  <c r="J130" i="37"/>
  <c r="J116" i="37"/>
  <c r="J111" i="37"/>
  <c r="J104" i="37"/>
  <c r="J94" i="37"/>
  <c r="J84" i="37"/>
  <c r="J139" i="37"/>
  <c r="J199" i="37"/>
  <c r="J189" i="37"/>
  <c r="J169" i="37"/>
  <c r="J160" i="37"/>
  <c r="J153" i="37"/>
  <c r="J146" i="37"/>
  <c r="J141" i="37"/>
  <c r="J133" i="37"/>
  <c r="J127" i="37"/>
  <c r="J121" i="37"/>
  <c r="J109" i="37"/>
  <c r="J81" i="37"/>
  <c r="J181" i="37"/>
  <c r="J142" i="37"/>
  <c r="J192" i="37"/>
  <c r="J79" i="37"/>
  <c r="J102" i="37"/>
  <c r="J114" i="37"/>
  <c r="J112" i="37"/>
  <c r="J106" i="37"/>
  <c r="J15" i="37"/>
  <c r="J170" i="37"/>
  <c r="J122" i="37"/>
  <c r="J179" i="37"/>
  <c r="J150" i="37"/>
  <c r="J98" i="37"/>
  <c r="J89" i="37"/>
  <c r="J196" i="37"/>
  <c r="J145" i="37"/>
  <c r="J110" i="37"/>
  <c r="J87" i="37"/>
  <c r="J190" i="37"/>
  <c r="J105" i="37"/>
  <c r="J92" i="37"/>
  <c r="J174" i="37"/>
  <c r="J164" i="37"/>
  <c r="J208" i="37"/>
  <c r="J213" i="37"/>
  <c r="J204" i="37"/>
  <c r="J200" i="37"/>
  <c r="J209" i="37"/>
  <c r="J165" i="37"/>
  <c r="J161" i="37"/>
  <c r="J123" i="37"/>
  <c r="J83" i="37"/>
  <c r="J207" i="37"/>
  <c r="J203" i="37"/>
  <c r="J205" i="37"/>
  <c r="J201" i="37"/>
  <c r="J197" i="37"/>
  <c r="J193" i="37"/>
  <c r="J180" i="37"/>
  <c r="J177" i="37"/>
  <c r="J171" i="37"/>
  <c r="J155" i="37"/>
  <c r="J151" i="37"/>
  <c r="J134" i="37"/>
  <c r="J128" i="37"/>
  <c r="J113" i="37"/>
  <c r="J96" i="37"/>
  <c r="J90" i="37"/>
  <c r="J210" i="37"/>
  <c r="J206" i="37"/>
  <c r="J202" i="37"/>
  <c r="J198" i="37"/>
  <c r="J194" i="37"/>
  <c r="J188" i="37"/>
  <c r="J185" i="37"/>
  <c r="J182" i="37"/>
  <c r="J178" i="37"/>
  <c r="J172" i="37"/>
  <c r="J168" i="37"/>
  <c r="J166" i="37"/>
  <c r="J162" i="37"/>
  <c r="J159" i="37"/>
  <c r="J156" i="37"/>
  <c r="J148" i="37"/>
  <c r="J143" i="37"/>
  <c r="J140" i="37"/>
  <c r="J137" i="37"/>
  <c r="J135" i="37"/>
  <c r="J132" i="37"/>
  <c r="J126" i="37"/>
  <c r="J120" i="37"/>
  <c r="J115" i="37"/>
  <c r="J100" i="37"/>
  <c r="J91" i="37"/>
  <c r="J88" i="37"/>
  <c r="J14" i="37"/>
  <c r="J129" i="37"/>
  <c r="J124" i="37"/>
  <c r="J117" i="37"/>
  <c r="J108" i="37"/>
  <c r="J93" i="37"/>
  <c r="J86" i="37"/>
  <c r="J80" i="37"/>
  <c r="F24" i="33"/>
  <c r="F18" i="33"/>
  <c r="F14" i="33"/>
  <c r="F13" i="33"/>
  <c r="F11" i="33"/>
  <c r="F10" i="33"/>
  <c r="F9" i="33"/>
  <c r="F7" i="33"/>
  <c r="F72" i="33" l="1"/>
  <c r="F66" i="33"/>
  <c r="F61" i="33"/>
  <c r="F59" i="33"/>
  <c r="F58" i="33"/>
  <c r="F57" i="33"/>
  <c r="T20" i="33" l="1"/>
  <c r="S20" i="33"/>
  <c r="R20" i="33"/>
  <c r="Q20" i="33"/>
  <c r="P20" i="33"/>
  <c r="O20" i="33"/>
  <c r="N20" i="33"/>
  <c r="M20" i="33"/>
  <c r="L20" i="33"/>
  <c r="K20" i="33"/>
  <c r="J20" i="33"/>
  <c r="I20" i="33"/>
  <c r="G64" i="33"/>
  <c r="G8" i="33"/>
  <c r="F32" i="33" l="1"/>
  <c r="F33" i="33"/>
  <c r="F34" i="33"/>
  <c r="F36" i="33"/>
  <c r="F38" i="33"/>
  <c r="F43" i="33"/>
  <c r="F49" i="33"/>
  <c r="L35" i="28"/>
  <c r="BI28" i="28"/>
  <c r="BI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O27" i="28" l="1"/>
  <c r="P27" i="28"/>
  <c r="O17" i="28"/>
  <c r="P17" i="28"/>
  <c r="O18" i="28"/>
  <c r="P18" i="28"/>
  <c r="M37" i="33"/>
  <c r="N37" i="33"/>
  <c r="O37" i="33"/>
  <c r="P37" i="33"/>
  <c r="Q37" i="33"/>
  <c r="R37" i="33"/>
  <c r="S37" i="33"/>
  <c r="T37" i="33"/>
  <c r="U37" i="33"/>
  <c r="V37" i="33"/>
  <c r="W37" i="33"/>
  <c r="X37" i="33"/>
  <c r="Y37" i="33"/>
  <c r="Z37" i="33"/>
  <c r="AA37" i="33"/>
  <c r="AB37" i="33"/>
  <c r="AC37" i="33"/>
  <c r="AD37" i="33"/>
  <c r="AE37" i="33"/>
  <c r="AF37" i="33"/>
  <c r="AG37" i="33"/>
  <c r="AH37" i="33"/>
  <c r="AI37" i="33"/>
  <c r="AJ37" i="33"/>
  <c r="AK37" i="33"/>
  <c r="AL37" i="33"/>
  <c r="AM37" i="33"/>
  <c r="AN37" i="33"/>
  <c r="AO37" i="33"/>
  <c r="AP37" i="33"/>
  <c r="AQ37" i="33"/>
  <c r="AR37" i="33"/>
  <c r="AS37" i="33"/>
  <c r="AT37" i="33"/>
  <c r="AU37" i="33"/>
  <c r="AV37" i="33"/>
  <c r="AW37" i="33"/>
  <c r="AX37" i="33"/>
  <c r="AY37" i="33"/>
  <c r="AZ37" i="33"/>
  <c r="BA37" i="33"/>
  <c r="BB37" i="33"/>
  <c r="BC37" i="33"/>
  <c r="BD37" i="33"/>
  <c r="H37" i="33"/>
  <c r="I37" i="33"/>
  <c r="J37" i="33"/>
  <c r="K37" i="33"/>
  <c r="L37" i="33"/>
  <c r="G37" i="33"/>
  <c r="BG37" i="33"/>
  <c r="G41" i="33"/>
  <c r="BE37" i="33" l="1"/>
  <c r="BF37" i="33" s="1"/>
  <c r="W20" i="37" s="1"/>
  <c r="AM20" i="37" s="1"/>
  <c r="BD64" i="33"/>
  <c r="BC64" i="33"/>
  <c r="BB64" i="33"/>
  <c r="BA64" i="33"/>
  <c r="AZ64" i="33"/>
  <c r="AY64" i="33"/>
  <c r="AX64" i="33"/>
  <c r="AW64" i="33"/>
  <c r="AV64" i="33"/>
  <c r="AU64" i="33"/>
  <c r="AT64" i="33"/>
  <c r="AS64" i="33"/>
  <c r="AR64" i="33"/>
  <c r="AQ64" i="33"/>
  <c r="AP64" i="33"/>
  <c r="AO64" i="33"/>
  <c r="AN64" i="33"/>
  <c r="AM64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BG74" i="33"/>
  <c r="BD74" i="33"/>
  <c r="BC74" i="33"/>
  <c r="BB74" i="33"/>
  <c r="BA74" i="33"/>
  <c r="AZ74" i="33"/>
  <c r="AY74" i="33"/>
  <c r="AX74" i="33"/>
  <c r="AW74" i="33"/>
  <c r="AV74" i="33"/>
  <c r="AU74" i="33"/>
  <c r="AT74" i="33"/>
  <c r="AS74" i="33"/>
  <c r="AR74" i="33"/>
  <c r="AQ74" i="33"/>
  <c r="AP74" i="33"/>
  <c r="AO74" i="33"/>
  <c r="AN74" i="33"/>
  <c r="AM74" i="33"/>
  <c r="AL74" i="33"/>
  <c r="AK74" i="33"/>
  <c r="AJ74" i="33"/>
  <c r="AI74" i="33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BG73" i="33"/>
  <c r="BD73" i="33"/>
  <c r="BC73" i="33"/>
  <c r="BB73" i="33"/>
  <c r="BA73" i="33"/>
  <c r="AZ73" i="33"/>
  <c r="AY73" i="33"/>
  <c r="AX73" i="33"/>
  <c r="AW73" i="33"/>
  <c r="AV73" i="33"/>
  <c r="AU73" i="33"/>
  <c r="AT73" i="33"/>
  <c r="AS73" i="33"/>
  <c r="AR73" i="33"/>
  <c r="AQ73" i="33"/>
  <c r="AP73" i="33"/>
  <c r="AO73" i="33"/>
  <c r="AN73" i="33"/>
  <c r="AM73" i="33"/>
  <c r="AL73" i="33"/>
  <c r="AK73" i="33"/>
  <c r="AJ73" i="33"/>
  <c r="AI73" i="33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BG72" i="33"/>
  <c r="BB72" i="33"/>
  <c r="BG71" i="33"/>
  <c r="BD71" i="33"/>
  <c r="BC71" i="33"/>
  <c r="BB71" i="33"/>
  <c r="BA7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BG70" i="33"/>
  <c r="BD70" i="33"/>
  <c r="BC70" i="33"/>
  <c r="BB70" i="33"/>
  <c r="BA70" i="33"/>
  <c r="AZ70" i="33"/>
  <c r="AY70" i="33"/>
  <c r="AX70" i="33"/>
  <c r="AW70" i="33"/>
  <c r="AV70" i="33"/>
  <c r="AU70" i="33"/>
  <c r="AT70" i="33"/>
  <c r="AS70" i="33"/>
  <c r="AR70" i="33"/>
  <c r="AQ70" i="33"/>
  <c r="AP70" i="33"/>
  <c r="AO70" i="33"/>
  <c r="AN70" i="33"/>
  <c r="AM70" i="33"/>
  <c r="AL70" i="33"/>
  <c r="AK70" i="33"/>
  <c r="AJ70" i="33"/>
  <c r="AI70" i="33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BG69" i="33"/>
  <c r="BD69" i="33"/>
  <c r="BC69" i="33"/>
  <c r="BB69" i="33"/>
  <c r="BA69" i="33"/>
  <c r="AZ69" i="33"/>
  <c r="AY69" i="33"/>
  <c r="AX69" i="33"/>
  <c r="AW69" i="33"/>
  <c r="AV69" i="33"/>
  <c r="AU69" i="33"/>
  <c r="AT69" i="33"/>
  <c r="AS69" i="33"/>
  <c r="AR69" i="33"/>
  <c r="AQ69" i="33"/>
  <c r="AP69" i="33"/>
  <c r="AO69" i="33"/>
  <c r="AN69" i="33"/>
  <c r="AM69" i="33"/>
  <c r="AL69" i="33"/>
  <c r="AK69" i="33"/>
  <c r="AJ69" i="33"/>
  <c r="AI69" i="33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BG68" i="33"/>
  <c r="BD68" i="33"/>
  <c r="BC68" i="33"/>
  <c r="BB68" i="33"/>
  <c r="BA68" i="33"/>
  <c r="AZ68" i="33"/>
  <c r="AY68" i="33"/>
  <c r="AX68" i="33"/>
  <c r="AW68" i="33"/>
  <c r="AV68" i="33"/>
  <c r="AU68" i="33"/>
  <c r="AT68" i="33"/>
  <c r="AS68" i="33"/>
  <c r="AR68" i="33"/>
  <c r="AQ68" i="33"/>
  <c r="AP68" i="33"/>
  <c r="AO68" i="33"/>
  <c r="AN68" i="33"/>
  <c r="AM68" i="33"/>
  <c r="AL68" i="33"/>
  <c r="AK68" i="33"/>
  <c r="AJ68" i="33"/>
  <c r="AI68" i="33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BG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BG66" i="33"/>
  <c r="BC66" i="33"/>
  <c r="BG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BG64" i="33"/>
  <c r="BG63" i="33"/>
  <c r="BD63" i="33"/>
  <c r="BC63" i="33"/>
  <c r="BB63" i="33"/>
  <c r="BA63" i="33"/>
  <c r="AZ63" i="33"/>
  <c r="AY63" i="33"/>
  <c r="AX63" i="33"/>
  <c r="AW63" i="33"/>
  <c r="AV63" i="33"/>
  <c r="AU63" i="33"/>
  <c r="AT63" i="33"/>
  <c r="AS63" i="33"/>
  <c r="AR63" i="33"/>
  <c r="AQ63" i="33"/>
  <c r="AP63" i="33"/>
  <c r="AO63" i="33"/>
  <c r="AN63" i="33"/>
  <c r="AM63" i="33"/>
  <c r="AL63" i="33"/>
  <c r="AK63" i="33"/>
  <c r="AJ63" i="33"/>
  <c r="AI63" i="33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BG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BG61" i="33"/>
  <c r="AW61" i="33"/>
  <c r="BC61" i="33"/>
  <c r="BG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BG59" i="33"/>
  <c r="AT59" i="33"/>
  <c r="BG58" i="33"/>
  <c r="BB58" i="33"/>
  <c r="BG57" i="33"/>
  <c r="BB57" i="33"/>
  <c r="BG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BG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O72" i="33" l="1"/>
  <c r="Q61" i="33"/>
  <c r="AG61" i="33"/>
  <c r="K66" i="33"/>
  <c r="AR66" i="33"/>
  <c r="I61" i="33"/>
  <c r="AO61" i="33"/>
  <c r="P66" i="33"/>
  <c r="X66" i="33"/>
  <c r="AH59" i="33"/>
  <c r="Y61" i="33"/>
  <c r="G66" i="33"/>
  <c r="AF66" i="33"/>
  <c r="AU72" i="33"/>
  <c r="BE73" i="33"/>
  <c r="BF73" i="33" s="1"/>
  <c r="BE64" i="33"/>
  <c r="BF64" i="33" s="1"/>
  <c r="X39" i="37" s="1"/>
  <c r="T61" i="33"/>
  <c r="AJ61" i="33"/>
  <c r="AZ61" i="33"/>
  <c r="O66" i="33"/>
  <c r="AB66" i="33"/>
  <c r="AV66" i="33"/>
  <c r="AE72" i="33"/>
  <c r="BE55" i="33"/>
  <c r="BF55" i="33" s="1"/>
  <c r="BD66" i="33"/>
  <c r="BE69" i="33"/>
  <c r="BF69" i="33" s="1"/>
  <c r="R59" i="33"/>
  <c r="L61" i="33"/>
  <c r="AB61" i="33"/>
  <c r="AR61" i="33"/>
  <c r="H66" i="33"/>
  <c r="S66" i="33"/>
  <c r="AN66" i="33"/>
  <c r="AY58" i="33"/>
  <c r="T57" i="33"/>
  <c r="AR57" i="33"/>
  <c r="AI58" i="33"/>
  <c r="G57" i="33"/>
  <c r="O57" i="33"/>
  <c r="W57" i="33"/>
  <c r="AE57" i="33"/>
  <c r="AM57" i="33"/>
  <c r="AU57" i="33"/>
  <c r="BC57" i="33"/>
  <c r="G58" i="33"/>
  <c r="W58" i="33"/>
  <c r="AM58" i="33"/>
  <c r="BC58" i="33"/>
  <c r="S72" i="33"/>
  <c r="AI72" i="33"/>
  <c r="AY72" i="33"/>
  <c r="AB57" i="33"/>
  <c r="AJ57" i="33"/>
  <c r="S58" i="33"/>
  <c r="H57" i="33"/>
  <c r="P57" i="33"/>
  <c r="X57" i="33"/>
  <c r="AF57" i="33"/>
  <c r="AN57" i="33"/>
  <c r="AV57" i="33"/>
  <c r="BD57" i="33"/>
  <c r="K58" i="33"/>
  <c r="AA58" i="33"/>
  <c r="AQ58" i="33"/>
  <c r="M61" i="33"/>
  <c r="U61" i="33"/>
  <c r="AC61" i="33"/>
  <c r="AK61" i="33"/>
  <c r="AS61" i="33"/>
  <c r="BA61" i="33"/>
  <c r="BE63" i="33"/>
  <c r="BF63" i="33" s="1"/>
  <c r="X42" i="37" s="1"/>
  <c r="BE65" i="33"/>
  <c r="BF65" i="33" s="1"/>
  <c r="X40" i="37" s="1"/>
  <c r="AN40" i="37" s="1"/>
  <c r="BE67" i="33"/>
  <c r="BF67" i="33" s="1"/>
  <c r="BE71" i="33"/>
  <c r="BF71" i="33" s="1"/>
  <c r="G72" i="33"/>
  <c r="W72" i="33"/>
  <c r="AM72" i="33"/>
  <c r="BC72" i="33"/>
  <c r="L57" i="33"/>
  <c r="AZ57" i="33"/>
  <c r="K57" i="33"/>
  <c r="S57" i="33"/>
  <c r="AA57" i="33"/>
  <c r="AI57" i="33"/>
  <c r="AQ57" i="33"/>
  <c r="AY57" i="33"/>
  <c r="O58" i="33"/>
  <c r="AE58" i="33"/>
  <c r="AU58" i="33"/>
  <c r="H61" i="33"/>
  <c r="P61" i="33"/>
  <c r="X61" i="33"/>
  <c r="AF61" i="33"/>
  <c r="AN61" i="33"/>
  <c r="AV61" i="33"/>
  <c r="BD61" i="33"/>
  <c r="L66" i="33"/>
  <c r="T66" i="33"/>
  <c r="AJ66" i="33"/>
  <c r="AZ66" i="33"/>
  <c r="K72" i="33"/>
  <c r="AA72" i="33"/>
  <c r="AQ72" i="33"/>
  <c r="BE60" i="33"/>
  <c r="BF60" i="33" s="1"/>
  <c r="X33" i="37" s="1"/>
  <c r="AN33" i="37" s="1"/>
  <c r="BE70" i="33"/>
  <c r="BF70" i="33" s="1"/>
  <c r="BE74" i="33"/>
  <c r="BF74" i="33" s="1"/>
  <c r="BE56" i="33"/>
  <c r="BF56" i="33" s="1"/>
  <c r="BE62" i="33"/>
  <c r="BF62" i="33" s="1"/>
  <c r="X23" i="37" s="1"/>
  <c r="BE68" i="33"/>
  <c r="BF68" i="33" s="1"/>
  <c r="J59" i="33"/>
  <c r="Z59" i="33"/>
  <c r="AP59" i="33"/>
  <c r="N59" i="33"/>
  <c r="AD59" i="33"/>
  <c r="BA59" i="33"/>
  <c r="AW59" i="33"/>
  <c r="AS59" i="33"/>
  <c r="AO59" i="33"/>
  <c r="AK59" i="33"/>
  <c r="AG59" i="33"/>
  <c r="AC59" i="33"/>
  <c r="Y59" i="33"/>
  <c r="U59" i="33"/>
  <c r="Q59" i="33"/>
  <c r="M59" i="33"/>
  <c r="I59" i="33"/>
  <c r="BD59" i="33"/>
  <c r="AZ59" i="33"/>
  <c r="AV59" i="33"/>
  <c r="AR59" i="33"/>
  <c r="AN59" i="33"/>
  <c r="AJ59" i="33"/>
  <c r="AF59" i="33"/>
  <c r="AB59" i="33"/>
  <c r="X59" i="33"/>
  <c r="T59" i="33"/>
  <c r="P59" i="33"/>
  <c r="L59" i="33"/>
  <c r="H59" i="33"/>
  <c r="BC59" i="33"/>
  <c r="AY59" i="33"/>
  <c r="AU59" i="33"/>
  <c r="AQ59" i="33"/>
  <c r="AM59" i="33"/>
  <c r="AI59" i="33"/>
  <c r="AE59" i="33"/>
  <c r="AA59" i="33"/>
  <c r="W59" i="33"/>
  <c r="S59" i="33"/>
  <c r="O59" i="33"/>
  <c r="K59" i="33"/>
  <c r="G59" i="33"/>
  <c r="BB59" i="33"/>
  <c r="AX59" i="33"/>
  <c r="V59" i="33"/>
  <c r="AL59" i="33"/>
  <c r="I57" i="33"/>
  <c r="M57" i="33"/>
  <c r="Q57" i="33"/>
  <c r="U57" i="33"/>
  <c r="Y57" i="33"/>
  <c r="AC57" i="33"/>
  <c r="AG57" i="33"/>
  <c r="AK57" i="33"/>
  <c r="AO57" i="33"/>
  <c r="AS57" i="33"/>
  <c r="AW57" i="33"/>
  <c r="BA57" i="33"/>
  <c r="H58" i="33"/>
  <c r="L58" i="33"/>
  <c r="P58" i="33"/>
  <c r="T58" i="33"/>
  <c r="X58" i="33"/>
  <c r="AB58" i="33"/>
  <c r="AF58" i="33"/>
  <c r="AJ58" i="33"/>
  <c r="AN58" i="33"/>
  <c r="AR58" i="33"/>
  <c r="AV58" i="33"/>
  <c r="AZ58" i="33"/>
  <c r="BD58" i="33"/>
  <c r="J61" i="33"/>
  <c r="N61" i="33"/>
  <c r="R61" i="33"/>
  <c r="V61" i="33"/>
  <c r="Z61" i="33"/>
  <c r="AD61" i="33"/>
  <c r="AH61" i="33"/>
  <c r="AL61" i="33"/>
  <c r="AP61" i="33"/>
  <c r="AT61" i="33"/>
  <c r="AX61" i="33"/>
  <c r="BB61" i="33"/>
  <c r="I66" i="33"/>
  <c r="M66" i="33"/>
  <c r="Q66" i="33"/>
  <c r="U66" i="33"/>
  <c r="Y66" i="33"/>
  <c r="AC66" i="33"/>
  <c r="AG66" i="33"/>
  <c r="AK66" i="33"/>
  <c r="AO66" i="33"/>
  <c r="AS66" i="33"/>
  <c r="AW66" i="33"/>
  <c r="BA66" i="33"/>
  <c r="H72" i="33"/>
  <c r="L72" i="33"/>
  <c r="P72" i="33"/>
  <c r="T72" i="33"/>
  <c r="X72" i="33"/>
  <c r="AB72" i="33"/>
  <c r="AF72" i="33"/>
  <c r="AJ72" i="33"/>
  <c r="AN72" i="33"/>
  <c r="AR72" i="33"/>
  <c r="AV72" i="33"/>
  <c r="AZ72" i="33"/>
  <c r="BD72" i="33"/>
  <c r="J57" i="33"/>
  <c r="N57" i="33"/>
  <c r="R57" i="33"/>
  <c r="V57" i="33"/>
  <c r="Z57" i="33"/>
  <c r="AD57" i="33"/>
  <c r="AH57" i="33"/>
  <c r="AL57" i="33"/>
  <c r="AP57" i="33"/>
  <c r="AT57" i="33"/>
  <c r="AX57" i="33"/>
  <c r="I58" i="33"/>
  <c r="M58" i="33"/>
  <c r="Q58" i="33"/>
  <c r="U58" i="33"/>
  <c r="Y58" i="33"/>
  <c r="AC58" i="33"/>
  <c r="AG58" i="33"/>
  <c r="AK58" i="33"/>
  <c r="AO58" i="33"/>
  <c r="AS58" i="33"/>
  <c r="AW58" i="33"/>
  <c r="BA58" i="33"/>
  <c r="G61" i="33"/>
  <c r="K61" i="33"/>
  <c r="O61" i="33"/>
  <c r="S61" i="33"/>
  <c r="W61" i="33"/>
  <c r="AA61" i="33"/>
  <c r="AE61" i="33"/>
  <c r="AI61" i="33"/>
  <c r="AM61" i="33"/>
  <c r="AQ61" i="33"/>
  <c r="AU61" i="33"/>
  <c r="AY61" i="33"/>
  <c r="J66" i="33"/>
  <c r="N66" i="33"/>
  <c r="R66" i="33"/>
  <c r="V66" i="33"/>
  <c r="Z66" i="33"/>
  <c r="AD66" i="33"/>
  <c r="AH66" i="33"/>
  <c r="AL66" i="33"/>
  <c r="AP66" i="33"/>
  <c r="AT66" i="33"/>
  <c r="AX66" i="33"/>
  <c r="BB66" i="33"/>
  <c r="I72" i="33"/>
  <c r="M72" i="33"/>
  <c r="Q72" i="33"/>
  <c r="U72" i="33"/>
  <c r="Y72" i="33"/>
  <c r="AC72" i="33"/>
  <c r="AG72" i="33"/>
  <c r="AK72" i="33"/>
  <c r="AO72" i="33"/>
  <c r="AS72" i="33"/>
  <c r="AW72" i="33"/>
  <c r="BA72" i="33"/>
  <c r="J58" i="33"/>
  <c r="N58" i="33"/>
  <c r="R58" i="33"/>
  <c r="V58" i="33"/>
  <c r="Z58" i="33"/>
  <c r="AD58" i="33"/>
  <c r="AH58" i="33"/>
  <c r="AL58" i="33"/>
  <c r="AP58" i="33"/>
  <c r="AT58" i="33"/>
  <c r="AX58" i="33"/>
  <c r="W66" i="33"/>
  <c r="AA66" i="33"/>
  <c r="AE66" i="33"/>
  <c r="AI66" i="33"/>
  <c r="AM66" i="33"/>
  <c r="AQ66" i="33"/>
  <c r="AU66" i="33"/>
  <c r="AY66" i="33"/>
  <c r="J72" i="33"/>
  <c r="N72" i="33"/>
  <c r="R72" i="33"/>
  <c r="V72" i="33"/>
  <c r="Z72" i="33"/>
  <c r="AD72" i="33"/>
  <c r="AH72" i="33"/>
  <c r="AL72" i="33"/>
  <c r="AP72" i="33"/>
  <c r="AT72" i="33"/>
  <c r="AX72" i="33"/>
  <c r="BC36" i="28"/>
  <c r="N39" i="28"/>
  <c r="AN39" i="37" l="1"/>
  <c r="J39" i="37"/>
  <c r="J23" i="37"/>
  <c r="AN23" i="37"/>
  <c r="AN42" i="37"/>
  <c r="J42" i="37"/>
  <c r="X25" i="37"/>
  <c r="X27" i="37"/>
  <c r="X38" i="37"/>
  <c r="AN38" i="37" s="1"/>
  <c r="X16" i="37"/>
  <c r="AN16" i="37" s="1"/>
  <c r="BE58" i="33"/>
  <c r="BF58" i="33" s="1"/>
  <c r="X35" i="37" s="1"/>
  <c r="AN35" i="37" s="1"/>
  <c r="BE57" i="33"/>
  <c r="BF57" i="33" s="1"/>
  <c r="X34" i="37" s="1"/>
  <c r="AN34" i="37" s="1"/>
  <c r="BE66" i="33"/>
  <c r="BF66" i="33" s="1"/>
  <c r="BE72" i="33"/>
  <c r="BF72" i="33" s="1"/>
  <c r="BE59" i="33"/>
  <c r="BF59" i="33" s="1"/>
  <c r="X32" i="37" s="1"/>
  <c r="AN32" i="37" s="1"/>
  <c r="BE61" i="33"/>
  <c r="BF61" i="33" s="1"/>
  <c r="X36" i="37" s="1"/>
  <c r="AN36" i="37" s="1"/>
  <c r="S19" i="28"/>
  <c r="O49" i="28"/>
  <c r="BH52" i="28"/>
  <c r="BG52" i="28"/>
  <c r="BF52" i="28"/>
  <c r="BE52" i="28"/>
  <c r="BD52" i="28"/>
  <c r="BC52" i="28"/>
  <c r="BH51" i="28"/>
  <c r="BG51" i="28"/>
  <c r="BF51" i="28"/>
  <c r="BE51" i="28"/>
  <c r="BD51" i="28"/>
  <c r="BC51" i="28"/>
  <c r="BH50" i="28"/>
  <c r="BG50" i="28"/>
  <c r="BF50" i="28"/>
  <c r="BE50" i="28"/>
  <c r="BD50" i="28"/>
  <c r="BC50" i="28"/>
  <c r="BH49" i="28"/>
  <c r="BG49" i="28"/>
  <c r="BF49" i="28"/>
  <c r="BE49" i="28"/>
  <c r="BD49" i="28"/>
  <c r="BC49" i="28"/>
  <c r="BH48" i="28"/>
  <c r="BG48" i="28"/>
  <c r="BF48" i="28"/>
  <c r="BE48" i="28"/>
  <c r="BD48" i="28"/>
  <c r="BC48" i="28"/>
  <c r="BH47" i="28"/>
  <c r="BG47" i="28"/>
  <c r="BF47" i="28"/>
  <c r="BE47" i="28"/>
  <c r="BD47" i="28"/>
  <c r="BC47" i="28"/>
  <c r="BH46" i="28"/>
  <c r="BG46" i="28"/>
  <c r="BF46" i="28"/>
  <c r="BE46" i="28"/>
  <c r="BD46" i="28"/>
  <c r="BC46" i="28"/>
  <c r="BH24" i="28"/>
  <c r="BG24" i="28"/>
  <c r="BF24" i="28"/>
  <c r="BE24" i="28"/>
  <c r="BD24" i="28"/>
  <c r="BC24" i="28"/>
  <c r="BH23" i="28"/>
  <c r="BG23" i="28"/>
  <c r="BF23" i="28"/>
  <c r="BE23" i="28"/>
  <c r="BD23" i="28"/>
  <c r="BC23" i="28"/>
  <c r="BH22" i="28"/>
  <c r="BG22" i="28"/>
  <c r="BF22" i="28"/>
  <c r="BE22" i="28"/>
  <c r="BD22" i="28"/>
  <c r="BC22" i="28"/>
  <c r="BH21" i="28"/>
  <c r="BG21" i="28"/>
  <c r="BF21" i="28"/>
  <c r="BE21" i="28"/>
  <c r="BD21" i="28"/>
  <c r="BC21" i="28"/>
  <c r="BH20" i="28"/>
  <c r="BG20" i="28"/>
  <c r="BF20" i="28"/>
  <c r="BE20" i="28"/>
  <c r="BD20" i="28"/>
  <c r="BC20" i="28"/>
  <c r="BH19" i="28"/>
  <c r="BG19" i="28"/>
  <c r="BF19" i="28"/>
  <c r="BE19" i="28"/>
  <c r="BD19" i="28"/>
  <c r="BC19" i="28"/>
  <c r="BH16" i="28"/>
  <c r="BG16" i="28"/>
  <c r="BF16" i="28"/>
  <c r="BE16" i="28"/>
  <c r="BD16" i="28"/>
  <c r="BC16" i="28"/>
  <c r="BI46" i="28"/>
  <c r="BI47" i="28"/>
  <c r="BI48" i="28"/>
  <c r="BI49" i="28"/>
  <c r="BI50" i="28"/>
  <c r="BI51" i="28"/>
  <c r="BI52" i="28"/>
  <c r="AN25" i="37" l="1"/>
  <c r="J25" i="37"/>
  <c r="AN27" i="37"/>
  <c r="J27" i="37"/>
  <c r="X41" i="37"/>
  <c r="AN41" i="37" s="1"/>
  <c r="G80" i="11"/>
  <c r="G47" i="11"/>
  <c r="G14" i="11"/>
  <c r="G11" i="11"/>
  <c r="G7" i="27" l="1"/>
  <c r="N18" i="3" l="1"/>
  <c r="N36" i="37" s="1"/>
  <c r="N14" i="3"/>
  <c r="N69" i="37" s="1"/>
  <c r="AD69" i="37" s="1"/>
  <c r="N9" i="3"/>
  <c r="N8" i="3"/>
  <c r="N57" i="37" s="1"/>
  <c r="AD57" i="37" s="1"/>
  <c r="N7" i="3"/>
  <c r="N125" i="37" s="1"/>
  <c r="G105" i="3"/>
  <c r="G104" i="3"/>
  <c r="F103" i="3"/>
  <c r="G103" i="3" s="1"/>
  <c r="G102" i="3"/>
  <c r="G101" i="3"/>
  <c r="G100" i="3"/>
  <c r="G99" i="3"/>
  <c r="G98" i="3"/>
  <c r="F97" i="3"/>
  <c r="G97" i="3" s="1"/>
  <c r="E97" i="3"/>
  <c r="G96" i="3"/>
  <c r="G95" i="3"/>
  <c r="G94" i="3"/>
  <c r="G93" i="3"/>
  <c r="G92" i="3"/>
  <c r="G91" i="3"/>
  <c r="G90" i="3"/>
  <c r="F89" i="3"/>
  <c r="G89" i="3" s="1"/>
  <c r="F88" i="3"/>
  <c r="G88" i="3" s="1"/>
  <c r="E88" i="3"/>
  <c r="G87" i="3"/>
  <c r="F86" i="3"/>
  <c r="G86" i="3" s="1"/>
  <c r="F85" i="3"/>
  <c r="G85" i="3" s="1"/>
  <c r="J125" i="37" l="1"/>
  <c r="AD125" i="37"/>
  <c r="AD36" i="37"/>
  <c r="H7" i="12"/>
  <c r="N8" i="12" s="1"/>
  <c r="K77" i="37" s="1"/>
  <c r="AA77" i="37" l="1"/>
  <c r="G12" i="2"/>
  <c r="G11" i="2"/>
  <c r="G10" i="2"/>
  <c r="G9" i="2"/>
  <c r="G8" i="2"/>
  <c r="G6" i="2"/>
  <c r="G5" i="2"/>
  <c r="Z5" i="2" l="1"/>
  <c r="Z7" i="2"/>
  <c r="Z8" i="2"/>
  <c r="Z9" i="2"/>
  <c r="Z12" i="2"/>
  <c r="Z14" i="2"/>
  <c r="Z15" i="2"/>
  <c r="Z17" i="2"/>
  <c r="Z18" i="2"/>
  <c r="Z19" i="2"/>
  <c r="Z20" i="2"/>
  <c r="Z21" i="2"/>
  <c r="Z22" i="2"/>
  <c r="Z23" i="2"/>
  <c r="Z24" i="2"/>
  <c r="Z25" i="2"/>
  <c r="Z26" i="2"/>
  <c r="Z27" i="2"/>
  <c r="Y5" i="2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Y7" i="2" l="1"/>
  <c r="Y8" i="2"/>
  <c r="Y9" i="2"/>
  <c r="Y12" i="2"/>
  <c r="Y15" i="2"/>
  <c r="Y17" i="2"/>
  <c r="Y18" i="2"/>
  <c r="Y19" i="2"/>
  <c r="Y20" i="2"/>
  <c r="Y21" i="2"/>
  <c r="Y22" i="2"/>
  <c r="Y23" i="2"/>
  <c r="Y24" i="2"/>
  <c r="Y25" i="2"/>
  <c r="Y26" i="2"/>
  <c r="Y27" i="2"/>
  <c r="X5" i="2"/>
  <c r="X7" i="2"/>
  <c r="X8" i="2"/>
  <c r="X9" i="2"/>
  <c r="X12" i="2"/>
  <c r="X15" i="2"/>
  <c r="X17" i="2"/>
  <c r="X18" i="2"/>
  <c r="X19" i="2"/>
  <c r="X20" i="2"/>
  <c r="X21" i="2"/>
  <c r="X22" i="2"/>
  <c r="X23" i="2"/>
  <c r="X24" i="2"/>
  <c r="X25" i="2"/>
  <c r="X26" i="2"/>
  <c r="X27" i="2"/>
  <c r="AV18" i="33" l="1"/>
  <c r="AX14" i="33"/>
  <c r="BA9" i="33"/>
  <c r="BG51" i="33"/>
  <c r="BD51" i="33"/>
  <c r="BC51" i="33"/>
  <c r="BB51" i="33"/>
  <c r="BA51" i="33"/>
  <c r="AZ51" i="33"/>
  <c r="AY51" i="33"/>
  <c r="AX51" i="33"/>
  <c r="AW51" i="33"/>
  <c r="AV51" i="33"/>
  <c r="AU51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BG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BG49" i="33"/>
  <c r="AW49" i="33"/>
  <c r="BG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BG47" i="33"/>
  <c r="BD47" i="33"/>
  <c r="BC47" i="33"/>
  <c r="BB47" i="33"/>
  <c r="BA47" i="33"/>
  <c r="AZ47" i="33"/>
  <c r="AY47" i="33"/>
  <c r="AX47" i="33"/>
  <c r="AW47" i="33"/>
  <c r="AV47" i="33"/>
  <c r="AU47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BG46" i="33"/>
  <c r="BD46" i="33"/>
  <c r="BC46" i="33"/>
  <c r="BB46" i="33"/>
  <c r="BA46" i="33"/>
  <c r="AZ46" i="33"/>
  <c r="AY46" i="33"/>
  <c r="AX46" i="33"/>
  <c r="AW46" i="33"/>
  <c r="AV46" i="33"/>
  <c r="AU46" i="33"/>
  <c r="AT46" i="33"/>
  <c r="AS46" i="33"/>
  <c r="AR46" i="33"/>
  <c r="AQ46" i="33"/>
  <c r="AP46" i="33"/>
  <c r="AO46" i="33"/>
  <c r="AN46" i="33"/>
  <c r="AM46" i="33"/>
  <c r="AL46" i="33"/>
  <c r="AK46" i="33"/>
  <c r="AJ46" i="33"/>
  <c r="AI46" i="33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BG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BG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BG43" i="33"/>
  <c r="BG42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BG41" i="33"/>
  <c r="BD41" i="33"/>
  <c r="BC41" i="33"/>
  <c r="BB41" i="33"/>
  <c r="BA41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BG40" i="33"/>
  <c r="BD40" i="33"/>
  <c r="BC40" i="33"/>
  <c r="BB40" i="33"/>
  <c r="BA40" i="33"/>
  <c r="AZ40" i="33"/>
  <c r="AY40" i="33"/>
  <c r="AX40" i="33"/>
  <c r="AW40" i="33"/>
  <c r="AV40" i="33"/>
  <c r="AU40" i="33"/>
  <c r="AT40" i="33"/>
  <c r="AS40" i="33"/>
  <c r="AR40" i="33"/>
  <c r="AQ40" i="33"/>
  <c r="AP40" i="33"/>
  <c r="AO40" i="33"/>
  <c r="AN40" i="33"/>
  <c r="AM40" i="33"/>
  <c r="AL40" i="33"/>
  <c r="AK40" i="33"/>
  <c r="AJ40" i="33"/>
  <c r="AI40" i="33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BG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BG38" i="33"/>
  <c r="BB38" i="33"/>
  <c r="BG36" i="33"/>
  <c r="BB36" i="33"/>
  <c r="BG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BG34" i="33"/>
  <c r="AW34" i="33"/>
  <c r="BG33" i="33"/>
  <c r="BG32" i="33"/>
  <c r="AW32" i="33"/>
  <c r="BG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BG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BG26" i="33"/>
  <c r="BC26" i="33"/>
  <c r="BD26" i="33" s="1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G26" i="33"/>
  <c r="H26" i="33" s="1"/>
  <c r="I26" i="33" s="1"/>
  <c r="J26" i="33" s="1"/>
  <c r="K26" i="33" s="1"/>
  <c r="L26" i="33" s="1"/>
  <c r="M26" i="33" s="1"/>
  <c r="N26" i="33" s="1"/>
  <c r="O26" i="33" s="1"/>
  <c r="P26" i="33" s="1"/>
  <c r="Q26" i="33" s="1"/>
  <c r="R26" i="33" s="1"/>
  <c r="S26" i="33" s="1"/>
  <c r="T26" i="33" s="1"/>
  <c r="U26" i="33" s="1"/>
  <c r="V26" i="33" s="1"/>
  <c r="W26" i="33" s="1"/>
  <c r="BG25" i="33"/>
  <c r="BC25" i="33"/>
  <c r="BD25" i="33" s="1"/>
  <c r="BB25" i="33"/>
  <c r="BA25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G25" i="33"/>
  <c r="H25" i="33" s="1"/>
  <c r="I25" i="33" s="1"/>
  <c r="J25" i="33" s="1"/>
  <c r="K25" i="33" s="1"/>
  <c r="L25" i="33" s="1"/>
  <c r="M25" i="33" s="1"/>
  <c r="N25" i="33" s="1"/>
  <c r="O25" i="33" s="1"/>
  <c r="P25" i="33" s="1"/>
  <c r="Q25" i="33" s="1"/>
  <c r="R25" i="33" s="1"/>
  <c r="S25" i="33" s="1"/>
  <c r="T25" i="33" s="1"/>
  <c r="U25" i="33" s="1"/>
  <c r="V25" i="33" s="1"/>
  <c r="W25" i="33" s="1"/>
  <c r="BG24" i="33"/>
  <c r="AX24" i="33"/>
  <c r="BG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BG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BG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BG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G20" i="33"/>
  <c r="H20" i="33" s="1"/>
  <c r="BG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BG18" i="33"/>
  <c r="AY18" i="33"/>
  <c r="AP18" i="33"/>
  <c r="AH18" i="33"/>
  <c r="AA18" i="33"/>
  <c r="R18" i="33"/>
  <c r="J18" i="33"/>
  <c r="BG17" i="33"/>
  <c r="BD17" i="33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BG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BG15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BG14" i="33"/>
  <c r="BD14" i="33"/>
  <c r="BC14" i="33"/>
  <c r="BA14" i="33"/>
  <c r="AZ14" i="33"/>
  <c r="AY14" i="33"/>
  <c r="AV14" i="33"/>
  <c r="AU14" i="33"/>
  <c r="AS14" i="33"/>
  <c r="AR14" i="33"/>
  <c r="AQ14" i="33"/>
  <c r="AN14" i="33"/>
  <c r="AM14" i="33"/>
  <c r="AK14" i="33"/>
  <c r="AJ14" i="33"/>
  <c r="AI14" i="33"/>
  <c r="AF14" i="33"/>
  <c r="AE14" i="33"/>
  <c r="AC14" i="33"/>
  <c r="AB14" i="33"/>
  <c r="AA14" i="33"/>
  <c r="X14" i="33"/>
  <c r="W14" i="33"/>
  <c r="U14" i="33"/>
  <c r="T14" i="33"/>
  <c r="S14" i="33"/>
  <c r="P14" i="33"/>
  <c r="O14" i="33"/>
  <c r="M14" i="33"/>
  <c r="L14" i="33"/>
  <c r="K14" i="33"/>
  <c r="H14" i="33"/>
  <c r="G14" i="33"/>
  <c r="BG13" i="33"/>
  <c r="AY13" i="33"/>
  <c r="BG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BG11" i="33"/>
  <c r="BB11" i="33"/>
  <c r="BG10" i="33"/>
  <c r="BB10" i="33"/>
  <c r="AO10" i="33"/>
  <c r="AN10" i="33"/>
  <c r="AE10" i="33"/>
  <c r="AD10" i="33"/>
  <c r="U10" i="33"/>
  <c r="S10" i="33"/>
  <c r="P10" i="33"/>
  <c r="I10" i="33"/>
  <c r="H10" i="33"/>
  <c r="AW10" i="33"/>
  <c r="BG9" i="33"/>
  <c r="AE9" i="33"/>
  <c r="AD9" i="33"/>
  <c r="T9" i="33"/>
  <c r="BG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BG7" i="33"/>
  <c r="BC7" i="33"/>
  <c r="BE5" i="33"/>
  <c r="BE4" i="33"/>
  <c r="BE3" i="33"/>
  <c r="BE2" i="33"/>
  <c r="H18" i="33" l="1"/>
  <c r="S18" i="33"/>
  <c r="AN18" i="33"/>
  <c r="BD18" i="33"/>
  <c r="K18" i="33"/>
  <c r="AF18" i="33"/>
  <c r="AX18" i="33"/>
  <c r="H36" i="33"/>
  <c r="W24" i="33"/>
  <c r="AO36" i="33"/>
  <c r="AA24" i="33"/>
  <c r="K49" i="33"/>
  <c r="AB49" i="33"/>
  <c r="R13" i="33"/>
  <c r="AJ13" i="33"/>
  <c r="AZ13" i="33"/>
  <c r="AQ49" i="33"/>
  <c r="H13" i="33"/>
  <c r="X13" i="33"/>
  <c r="AN13" i="33"/>
  <c r="AR24" i="33"/>
  <c r="I36" i="33"/>
  <c r="AR36" i="33"/>
  <c r="O49" i="33"/>
  <c r="AF49" i="33"/>
  <c r="AZ49" i="33"/>
  <c r="J13" i="33"/>
  <c r="AB13" i="33"/>
  <c r="AR13" i="33"/>
  <c r="L24" i="33"/>
  <c r="BC24" i="33"/>
  <c r="X36" i="33"/>
  <c r="G49" i="33"/>
  <c r="T49" i="33"/>
  <c r="AJ49" i="33"/>
  <c r="P13" i="33"/>
  <c r="AF13" i="33"/>
  <c r="AX13" i="33"/>
  <c r="AB36" i="33"/>
  <c r="J49" i="33"/>
  <c r="U49" i="33"/>
  <c r="AP49" i="33"/>
  <c r="P7" i="33"/>
  <c r="AK11" i="33"/>
  <c r="L13" i="33"/>
  <c r="AH13" i="33"/>
  <c r="BD13" i="33"/>
  <c r="AB24" i="33"/>
  <c r="L36" i="33"/>
  <c r="AC36" i="33"/>
  <c r="AS36" i="33"/>
  <c r="N38" i="33"/>
  <c r="Z49" i="33"/>
  <c r="AX49" i="33"/>
  <c r="AN7" i="33"/>
  <c r="AI24" i="33"/>
  <c r="M36" i="33"/>
  <c r="AE36" i="33"/>
  <c r="AW36" i="33"/>
  <c r="AD38" i="33"/>
  <c r="P11" i="33"/>
  <c r="G24" i="33"/>
  <c r="AM24" i="33"/>
  <c r="Q36" i="33"/>
  <c r="AG36" i="33"/>
  <c r="AX36" i="33"/>
  <c r="AT38" i="33"/>
  <c r="AE49" i="33"/>
  <c r="BA49" i="33"/>
  <c r="T13" i="33"/>
  <c r="AP13" i="33"/>
  <c r="K24" i="33"/>
  <c r="AQ24" i="33"/>
  <c r="R36" i="33"/>
  <c r="AH36" i="33"/>
  <c r="AZ36" i="33"/>
  <c r="T36" i="33"/>
  <c r="AM36" i="33"/>
  <c r="BC36" i="33"/>
  <c r="Z13" i="33"/>
  <c r="AV13" i="33"/>
  <c r="S24" i="33"/>
  <c r="AY24" i="33"/>
  <c r="G36" i="33"/>
  <c r="W36" i="33"/>
  <c r="AN36" i="33"/>
  <c r="BD36" i="33"/>
  <c r="R49" i="33"/>
  <c r="AM49" i="33"/>
  <c r="P34" i="33"/>
  <c r="BE8" i="33"/>
  <c r="BF8" i="33" s="1"/>
  <c r="V31" i="37" s="1"/>
  <c r="AJ7" i="33"/>
  <c r="X11" i="33"/>
  <c r="AS11" i="33"/>
  <c r="K7" i="33"/>
  <c r="AM7" i="33"/>
  <c r="O11" i="33"/>
  <c r="Y11" i="33"/>
  <c r="AI11" i="33"/>
  <c r="AU11" i="33"/>
  <c r="M13" i="33"/>
  <c r="AC13" i="33"/>
  <c r="AS13" i="33"/>
  <c r="I24" i="33"/>
  <c r="Y24" i="33"/>
  <c r="AO24" i="33"/>
  <c r="AI32" i="33"/>
  <c r="O34" i="33"/>
  <c r="Z34" i="33"/>
  <c r="AJ34" i="33"/>
  <c r="AU34" i="33"/>
  <c r="J36" i="33"/>
  <c r="U36" i="33"/>
  <c r="AF36" i="33"/>
  <c r="AP36" i="33"/>
  <c r="BA36" i="33"/>
  <c r="H49" i="33"/>
  <c r="S49" i="33"/>
  <c r="AC49" i="33"/>
  <c r="AN49" i="33"/>
  <c r="AY49" i="33"/>
  <c r="AA34" i="33"/>
  <c r="R7" i="33"/>
  <c r="G11" i="33"/>
  <c r="AA11" i="33"/>
  <c r="K32" i="33"/>
  <c r="AQ32" i="33"/>
  <c r="G34" i="33"/>
  <c r="R34" i="33"/>
  <c r="AB34" i="33"/>
  <c r="AM34" i="33"/>
  <c r="AX34" i="33"/>
  <c r="AV34" i="33"/>
  <c r="AW11" i="33"/>
  <c r="S7" i="33"/>
  <c r="H11" i="33"/>
  <c r="R11" i="33"/>
  <c r="AC11" i="33"/>
  <c r="AN11" i="33"/>
  <c r="AX11" i="33"/>
  <c r="BE23" i="33"/>
  <c r="BF23" i="33" s="1"/>
  <c r="X6" i="2" s="1"/>
  <c r="O24" i="33"/>
  <c r="AE24" i="33"/>
  <c r="AU24" i="33"/>
  <c r="L32" i="33"/>
  <c r="AR32" i="33"/>
  <c r="H34" i="33"/>
  <c r="S34" i="33"/>
  <c r="AC34" i="33"/>
  <c r="AN34" i="33"/>
  <c r="AY34" i="33"/>
  <c r="O36" i="33"/>
  <c r="Y36" i="33"/>
  <c r="AJ36" i="33"/>
  <c r="AU36" i="33"/>
  <c r="BE42" i="33"/>
  <c r="BF42" i="33" s="1"/>
  <c r="W40" i="37" s="1"/>
  <c r="AM40" i="37" s="1"/>
  <c r="L49" i="33"/>
  <c r="W49" i="33"/>
  <c r="AH49" i="33"/>
  <c r="AR49" i="33"/>
  <c r="BC49" i="33"/>
  <c r="AU7" i="33"/>
  <c r="Q11" i="33"/>
  <c r="AM11" i="33"/>
  <c r="AW7" i="33"/>
  <c r="Y7" i="33"/>
  <c r="AX7" i="33"/>
  <c r="I11" i="33"/>
  <c r="S11" i="33"/>
  <c r="AE11" i="33"/>
  <c r="AO11" i="33"/>
  <c r="AY11" i="33"/>
  <c r="U13" i="33"/>
  <c r="AK13" i="33"/>
  <c r="BA13" i="33"/>
  <c r="Q24" i="33"/>
  <c r="AG24" i="33"/>
  <c r="AW24" i="33"/>
  <c r="S32" i="33"/>
  <c r="AY32" i="33"/>
  <c r="J34" i="33"/>
  <c r="T34" i="33"/>
  <c r="AE34" i="33"/>
  <c r="AP34" i="33"/>
  <c r="AZ34" i="33"/>
  <c r="P36" i="33"/>
  <c r="Z36" i="33"/>
  <c r="AK36" i="33"/>
  <c r="AV36" i="33"/>
  <c r="M49" i="33"/>
  <c r="X49" i="33"/>
  <c r="AI49" i="33"/>
  <c r="AS49" i="33"/>
  <c r="BD49" i="33"/>
  <c r="AB7" i="33"/>
  <c r="U11" i="33"/>
  <c r="AP11" i="33"/>
  <c r="BA11" i="33"/>
  <c r="T32" i="33"/>
  <c r="AZ32" i="33"/>
  <c r="K34" i="33"/>
  <c r="U34" i="33"/>
  <c r="AF34" i="33"/>
  <c r="AQ34" i="33"/>
  <c r="BA34" i="33"/>
  <c r="AU49" i="33"/>
  <c r="AV11" i="33"/>
  <c r="AJ32" i="33"/>
  <c r="J11" i="33"/>
  <c r="H7" i="33"/>
  <c r="K11" i="33"/>
  <c r="W11" i="33"/>
  <c r="AG11" i="33"/>
  <c r="AQ11" i="33"/>
  <c r="BC11" i="33"/>
  <c r="T24" i="33"/>
  <c r="AJ24" i="33"/>
  <c r="AZ24" i="33"/>
  <c r="AA32" i="33"/>
  <c r="L34" i="33"/>
  <c r="W34" i="33"/>
  <c r="AH34" i="33"/>
  <c r="AR34" i="33"/>
  <c r="BC34" i="33"/>
  <c r="P49" i="33"/>
  <c r="AA49" i="33"/>
  <c r="AK49" i="33"/>
  <c r="AV49" i="33"/>
  <c r="BE50" i="33"/>
  <c r="BF50" i="33" s="1"/>
  <c r="Y14" i="2" s="1"/>
  <c r="Z11" i="33"/>
  <c r="AK34" i="33"/>
  <c r="AF11" i="33"/>
  <c r="AD7" i="33"/>
  <c r="J7" i="33"/>
  <c r="M11" i="33"/>
  <c r="AH11" i="33"/>
  <c r="BD11" i="33"/>
  <c r="BE17" i="33"/>
  <c r="BF17" i="33" s="1"/>
  <c r="V40" i="37" s="1"/>
  <c r="AL40" i="37" s="1"/>
  <c r="BE21" i="33"/>
  <c r="BF21" i="33" s="1"/>
  <c r="X10" i="2" s="1"/>
  <c r="AB32" i="33"/>
  <c r="M34" i="33"/>
  <c r="X34" i="33"/>
  <c r="AI34" i="33"/>
  <c r="AS34" i="33"/>
  <c r="BD34" i="33"/>
  <c r="BE41" i="33"/>
  <c r="BF41" i="33" s="1"/>
  <c r="BE46" i="33"/>
  <c r="BF46" i="33" s="1"/>
  <c r="Y10" i="2" s="1"/>
  <c r="P18" i="33"/>
  <c r="AI18" i="33"/>
  <c r="X18" i="33"/>
  <c r="AQ18" i="33"/>
  <c r="AW18" i="33"/>
  <c r="Z18" i="33"/>
  <c r="BE30" i="33"/>
  <c r="BF30" i="33" s="1"/>
  <c r="BE44" i="33"/>
  <c r="BF44" i="33" s="1"/>
  <c r="BE19" i="33"/>
  <c r="BF19" i="33" s="1"/>
  <c r="BE25" i="33"/>
  <c r="BF25" i="33" s="1"/>
  <c r="X14" i="2" s="1"/>
  <c r="BE48" i="33"/>
  <c r="BF48" i="33" s="1"/>
  <c r="Y6" i="2" s="1"/>
  <c r="BE20" i="33"/>
  <c r="BF20" i="33" s="1"/>
  <c r="V38" i="37" s="1"/>
  <c r="AL38" i="37" s="1"/>
  <c r="BE26" i="33"/>
  <c r="BF26" i="33" s="1"/>
  <c r="X16" i="2" s="1"/>
  <c r="BE39" i="33"/>
  <c r="BF39" i="33" s="1"/>
  <c r="W21" i="37" s="1"/>
  <c r="N14" i="33"/>
  <c r="V14" i="33"/>
  <c r="AD14" i="33"/>
  <c r="AL14" i="33"/>
  <c r="AT14" i="33"/>
  <c r="BB14" i="33"/>
  <c r="AO14" i="33"/>
  <c r="I14" i="33"/>
  <c r="Q14" i="33"/>
  <c r="Y14" i="33"/>
  <c r="AG14" i="33"/>
  <c r="AW14" i="33"/>
  <c r="J14" i="33"/>
  <c r="R14" i="33"/>
  <c r="Z14" i="33"/>
  <c r="AH14" i="33"/>
  <c r="AP14" i="33"/>
  <c r="U9" i="33"/>
  <c r="AB9" i="33"/>
  <c r="AQ9" i="33"/>
  <c r="AO9" i="33"/>
  <c r="I9" i="33"/>
  <c r="AZ9" i="33"/>
  <c r="K9" i="33"/>
  <c r="L7" i="33"/>
  <c r="T7" i="33"/>
  <c r="AE7" i="33"/>
  <c r="AO7" i="33"/>
  <c r="AZ7" i="33"/>
  <c r="L9" i="33"/>
  <c r="V9" i="33"/>
  <c r="AG9" i="33"/>
  <c r="AR9" i="33"/>
  <c r="BB9" i="33"/>
  <c r="K10" i="33"/>
  <c r="V10" i="33"/>
  <c r="AF10" i="33"/>
  <c r="AQ10" i="33"/>
  <c r="BE22" i="33"/>
  <c r="BF22" i="33" s="1"/>
  <c r="X11" i="2" s="1"/>
  <c r="AZ43" i="33"/>
  <c r="AR43" i="33"/>
  <c r="AJ43" i="33"/>
  <c r="AB43" i="33"/>
  <c r="T43" i="33"/>
  <c r="L43" i="33"/>
  <c r="AY43" i="33"/>
  <c r="AQ43" i="33"/>
  <c r="AI43" i="33"/>
  <c r="AA43" i="33"/>
  <c r="S43" i="33"/>
  <c r="K43" i="33"/>
  <c r="AX43" i="33"/>
  <c r="AP43" i="33"/>
  <c r="AH43" i="33"/>
  <c r="Z43" i="33"/>
  <c r="R43" i="33"/>
  <c r="J43" i="33"/>
  <c r="AW43" i="33"/>
  <c r="AO43" i="33"/>
  <c r="AG43" i="33"/>
  <c r="Y43" i="33"/>
  <c r="Q43" i="33"/>
  <c r="I43" i="33"/>
  <c r="BD43" i="33"/>
  <c r="AV43" i="33"/>
  <c r="AN43" i="33"/>
  <c r="AF43" i="33"/>
  <c r="X43" i="33"/>
  <c r="P43" i="33"/>
  <c r="H43" i="33"/>
  <c r="BC43" i="33"/>
  <c r="AU43" i="33"/>
  <c r="AM43" i="33"/>
  <c r="AE43" i="33"/>
  <c r="W43" i="33"/>
  <c r="O43" i="33"/>
  <c r="G43" i="33"/>
  <c r="BA43" i="33"/>
  <c r="AS43" i="33"/>
  <c r="AK43" i="33"/>
  <c r="AC43" i="33"/>
  <c r="U43" i="33"/>
  <c r="M43" i="33"/>
  <c r="BB43" i="33"/>
  <c r="AT43" i="33"/>
  <c r="AL43" i="33"/>
  <c r="AD43" i="33"/>
  <c r="V43" i="33"/>
  <c r="N43" i="33"/>
  <c r="M7" i="33"/>
  <c r="V7" i="33"/>
  <c r="AF7" i="33"/>
  <c r="AP7" i="33"/>
  <c r="BB7" i="33"/>
  <c r="M9" i="33"/>
  <c r="W9" i="33"/>
  <c r="AI9" i="33"/>
  <c r="AS9" i="33"/>
  <c r="BC9" i="33"/>
  <c r="M10" i="33"/>
  <c r="W10" i="33"/>
  <c r="AG10" i="33"/>
  <c r="AS10" i="33"/>
  <c r="BE12" i="33"/>
  <c r="BF12" i="33" s="1"/>
  <c r="V33" i="37" s="1"/>
  <c r="AL33" i="37" s="1"/>
  <c r="BE31" i="33"/>
  <c r="BF31" i="33" s="1"/>
  <c r="W29" i="37" s="1"/>
  <c r="AY33" i="33"/>
  <c r="AQ33" i="33"/>
  <c r="AI33" i="33"/>
  <c r="AA33" i="33"/>
  <c r="S33" i="33"/>
  <c r="K33" i="33"/>
  <c r="AX33" i="33"/>
  <c r="AP33" i="33"/>
  <c r="AH33" i="33"/>
  <c r="Z33" i="33"/>
  <c r="R33" i="33"/>
  <c r="J33" i="33"/>
  <c r="AW33" i="33"/>
  <c r="AO33" i="33"/>
  <c r="AG33" i="33"/>
  <c r="Y33" i="33"/>
  <c r="Q33" i="33"/>
  <c r="I33" i="33"/>
  <c r="BD33" i="33"/>
  <c r="AV33" i="33"/>
  <c r="AN33" i="33"/>
  <c r="AF33" i="33"/>
  <c r="X33" i="33"/>
  <c r="P33" i="33"/>
  <c r="H33" i="33"/>
  <c r="BC33" i="33"/>
  <c r="AU33" i="33"/>
  <c r="AM33" i="33"/>
  <c r="AE33" i="33"/>
  <c r="W33" i="33"/>
  <c r="O33" i="33"/>
  <c r="G33" i="33"/>
  <c r="AZ33" i="33"/>
  <c r="AR33" i="33"/>
  <c r="AJ33" i="33"/>
  <c r="AB33" i="33"/>
  <c r="T33" i="33"/>
  <c r="L33" i="33"/>
  <c r="AK33" i="33"/>
  <c r="AD33" i="33"/>
  <c r="AC33" i="33"/>
  <c r="BB33" i="33"/>
  <c r="V33" i="33"/>
  <c r="BA33" i="33"/>
  <c r="U33" i="33"/>
  <c r="AT33" i="33"/>
  <c r="N33" i="33"/>
  <c r="AS33" i="33"/>
  <c r="M33" i="33"/>
  <c r="N7" i="33"/>
  <c r="AG7" i="33"/>
  <c r="N9" i="33"/>
  <c r="X10" i="33"/>
  <c r="AI10" i="33"/>
  <c r="AT10" i="33"/>
  <c r="BE16" i="33"/>
  <c r="BF16" i="33" s="1"/>
  <c r="AL33" i="33"/>
  <c r="BA7" i="33"/>
  <c r="AS7" i="33"/>
  <c r="AK7" i="33"/>
  <c r="AC7" i="33"/>
  <c r="U7" i="33"/>
  <c r="AY7" i="33"/>
  <c r="AQ7" i="33"/>
  <c r="AI7" i="33"/>
  <c r="AA7" i="33"/>
  <c r="W7" i="33"/>
  <c r="AR7" i="33"/>
  <c r="Y9" i="33"/>
  <c r="AJ9" i="33"/>
  <c r="AT9" i="33"/>
  <c r="N10" i="33"/>
  <c r="G7" i="33"/>
  <c r="O7" i="33"/>
  <c r="X7" i="33"/>
  <c r="AH7" i="33"/>
  <c r="AT7" i="33"/>
  <c r="BD7" i="33"/>
  <c r="O9" i="33"/>
  <c r="AA9" i="33"/>
  <c r="AK9" i="33"/>
  <c r="AU9" i="33"/>
  <c r="O10" i="33"/>
  <c r="Y10" i="33"/>
  <c r="AK10" i="33"/>
  <c r="AX9" i="33"/>
  <c r="AP9" i="33"/>
  <c r="AH9" i="33"/>
  <c r="Z9" i="33"/>
  <c r="R9" i="33"/>
  <c r="J9" i="33"/>
  <c r="BD9" i="33"/>
  <c r="AV9" i="33"/>
  <c r="AN9" i="33"/>
  <c r="AF9" i="33"/>
  <c r="X9" i="33"/>
  <c r="P9" i="33"/>
  <c r="H9" i="33"/>
  <c r="Q9" i="33"/>
  <c r="AL9" i="33"/>
  <c r="AW9" i="33"/>
  <c r="AZ10" i="33"/>
  <c r="AR10" i="33"/>
  <c r="AJ10" i="33"/>
  <c r="AB10" i="33"/>
  <c r="T10" i="33"/>
  <c r="L10" i="33"/>
  <c r="AX10" i="33"/>
  <c r="AP10" i="33"/>
  <c r="AH10" i="33"/>
  <c r="Z10" i="33"/>
  <c r="R10" i="33"/>
  <c r="J10" i="33"/>
  <c r="BD10" i="33"/>
  <c r="AV10" i="33"/>
  <c r="BC10" i="33"/>
  <c r="AU10" i="33"/>
  <c r="AA10" i="33"/>
  <c r="AL10" i="33"/>
  <c r="AY10" i="33"/>
  <c r="BE15" i="33"/>
  <c r="BF15" i="33" s="1"/>
  <c r="V28" i="37" s="1"/>
  <c r="AL28" i="37" s="1"/>
  <c r="I7" i="33"/>
  <c r="Q7" i="33"/>
  <c r="Z7" i="33"/>
  <c r="AL7" i="33"/>
  <c r="AV7" i="33"/>
  <c r="G9" i="33"/>
  <c r="S9" i="33"/>
  <c r="AC9" i="33"/>
  <c r="AM9" i="33"/>
  <c r="AY9" i="33"/>
  <c r="G10" i="33"/>
  <c r="Q10" i="33"/>
  <c r="AC10" i="33"/>
  <c r="AM10" i="33"/>
  <c r="BA10" i="33"/>
  <c r="N13" i="33"/>
  <c r="V13" i="33"/>
  <c r="AD13" i="33"/>
  <c r="AL13" i="33"/>
  <c r="AT13" i="33"/>
  <c r="BB13" i="33"/>
  <c r="L18" i="33"/>
  <c r="T18" i="33"/>
  <c r="AB18" i="33"/>
  <c r="AJ18" i="33"/>
  <c r="AR18" i="33"/>
  <c r="AZ18" i="33"/>
  <c r="M24" i="33"/>
  <c r="U24" i="33"/>
  <c r="AC24" i="33"/>
  <c r="AK24" i="33"/>
  <c r="AS24" i="33"/>
  <c r="BA24" i="33"/>
  <c r="G13" i="33"/>
  <c r="O13" i="33"/>
  <c r="W13" i="33"/>
  <c r="AE13" i="33"/>
  <c r="AM13" i="33"/>
  <c r="AU13" i="33"/>
  <c r="BC13" i="33"/>
  <c r="M18" i="33"/>
  <c r="U18" i="33"/>
  <c r="AC18" i="33"/>
  <c r="AK18" i="33"/>
  <c r="AS18" i="33"/>
  <c r="BA18" i="33"/>
  <c r="N24" i="33"/>
  <c r="V24" i="33"/>
  <c r="AD24" i="33"/>
  <c r="AL24" i="33"/>
  <c r="AT24" i="33"/>
  <c r="BB24" i="33"/>
  <c r="AZ38" i="33"/>
  <c r="AR38" i="33"/>
  <c r="AJ38" i="33"/>
  <c r="AB38" i="33"/>
  <c r="T38" i="33"/>
  <c r="L38" i="33"/>
  <c r="AY38" i="33"/>
  <c r="AQ38" i="33"/>
  <c r="AI38" i="33"/>
  <c r="AA38" i="33"/>
  <c r="S38" i="33"/>
  <c r="K38" i="33"/>
  <c r="AX38" i="33"/>
  <c r="AP38" i="33"/>
  <c r="AH38" i="33"/>
  <c r="Z38" i="33"/>
  <c r="R38" i="33"/>
  <c r="J38" i="33"/>
  <c r="AW38" i="33"/>
  <c r="AO38" i="33"/>
  <c r="AG38" i="33"/>
  <c r="Y38" i="33"/>
  <c r="Q38" i="33"/>
  <c r="I38" i="33"/>
  <c r="BD38" i="33"/>
  <c r="AV38" i="33"/>
  <c r="AN38" i="33"/>
  <c r="AF38" i="33"/>
  <c r="X38" i="33"/>
  <c r="P38" i="33"/>
  <c r="H38" i="33"/>
  <c r="BC38" i="33"/>
  <c r="AU38" i="33"/>
  <c r="AM38" i="33"/>
  <c r="AE38" i="33"/>
  <c r="W38" i="33"/>
  <c r="O38" i="33"/>
  <c r="G38" i="33"/>
  <c r="BA38" i="33"/>
  <c r="AS38" i="33"/>
  <c r="AK38" i="33"/>
  <c r="AC38" i="33"/>
  <c r="U38" i="33"/>
  <c r="M38" i="33"/>
  <c r="BE47" i="33"/>
  <c r="BF47" i="33" s="1"/>
  <c r="Y11" i="2" s="1"/>
  <c r="N18" i="33"/>
  <c r="V18" i="33"/>
  <c r="AD18" i="33"/>
  <c r="AL18" i="33"/>
  <c r="AT18" i="33"/>
  <c r="BB18" i="33"/>
  <c r="L11" i="33"/>
  <c r="T11" i="33"/>
  <c r="AB11" i="33"/>
  <c r="AJ11" i="33"/>
  <c r="AR11" i="33"/>
  <c r="AZ11" i="33"/>
  <c r="I13" i="33"/>
  <c r="Q13" i="33"/>
  <c r="Y13" i="33"/>
  <c r="AG13" i="33"/>
  <c r="AO13" i="33"/>
  <c r="AW13" i="33"/>
  <c r="G18" i="33"/>
  <c r="O18" i="33"/>
  <c r="W18" i="33"/>
  <c r="AE18" i="33"/>
  <c r="AM18" i="33"/>
  <c r="AU18" i="33"/>
  <c r="BC18" i="33"/>
  <c r="H24" i="33"/>
  <c r="P24" i="33"/>
  <c r="X24" i="33"/>
  <c r="AF24" i="33"/>
  <c r="AN24" i="33"/>
  <c r="AV24" i="33"/>
  <c r="BD24" i="33"/>
  <c r="V38" i="33"/>
  <c r="BE45" i="33"/>
  <c r="BF45" i="33" s="1"/>
  <c r="N11" i="33"/>
  <c r="V11" i="33"/>
  <c r="AD11" i="33"/>
  <c r="AL11" i="33"/>
  <c r="AT11" i="33"/>
  <c r="K13" i="33"/>
  <c r="S13" i="33"/>
  <c r="AA13" i="33"/>
  <c r="AI13" i="33"/>
  <c r="AQ13" i="33"/>
  <c r="I18" i="33"/>
  <c r="Q18" i="33"/>
  <c r="Y18" i="33"/>
  <c r="AG18" i="33"/>
  <c r="AO18" i="33"/>
  <c r="J24" i="33"/>
  <c r="R24" i="33"/>
  <c r="Z24" i="33"/>
  <c r="AH24" i="33"/>
  <c r="AP24" i="33"/>
  <c r="BE35" i="33"/>
  <c r="BF35" i="33" s="1"/>
  <c r="W33" i="37" s="1"/>
  <c r="AM33" i="37" s="1"/>
  <c r="AL38" i="33"/>
  <c r="BE40" i="33"/>
  <c r="BF40" i="33" s="1"/>
  <c r="W28" i="37" s="1"/>
  <c r="AM28" i="37" s="1"/>
  <c r="BE51" i="33"/>
  <c r="BF51" i="33" s="1"/>
  <c r="Y16" i="2" s="1"/>
  <c r="J32" i="33"/>
  <c r="R32" i="33"/>
  <c r="Z32" i="33"/>
  <c r="AH32" i="33"/>
  <c r="AP32" i="33"/>
  <c r="AX32" i="33"/>
  <c r="N34" i="33"/>
  <c r="V34" i="33"/>
  <c r="AD34" i="33"/>
  <c r="AL34" i="33"/>
  <c r="AT34" i="33"/>
  <c r="BB34" i="33"/>
  <c r="K36" i="33"/>
  <c r="S36" i="33"/>
  <c r="AA36" i="33"/>
  <c r="AI36" i="33"/>
  <c r="AQ36" i="33"/>
  <c r="AY36" i="33"/>
  <c r="N49" i="33"/>
  <c r="V49" i="33"/>
  <c r="AD49" i="33"/>
  <c r="AL49" i="33"/>
  <c r="AT49" i="33"/>
  <c r="BB49" i="33"/>
  <c r="M32" i="33"/>
  <c r="U32" i="33"/>
  <c r="AC32" i="33"/>
  <c r="AK32" i="33"/>
  <c r="AS32" i="33"/>
  <c r="BA32" i="33"/>
  <c r="I34" i="33"/>
  <c r="Q34" i="33"/>
  <c r="Y34" i="33"/>
  <c r="AG34" i="33"/>
  <c r="AO34" i="33"/>
  <c r="N36" i="33"/>
  <c r="V36" i="33"/>
  <c r="AD36" i="33"/>
  <c r="AL36" i="33"/>
  <c r="AT36" i="33"/>
  <c r="I49" i="33"/>
  <c r="Q49" i="33"/>
  <c r="Y49" i="33"/>
  <c r="AG49" i="33"/>
  <c r="AO49" i="33"/>
  <c r="N32" i="33"/>
  <c r="V32" i="33"/>
  <c r="AD32" i="33"/>
  <c r="AL32" i="33"/>
  <c r="AT32" i="33"/>
  <c r="BB32" i="33"/>
  <c r="G32" i="33"/>
  <c r="O32" i="33"/>
  <c r="W32" i="33"/>
  <c r="AE32" i="33"/>
  <c r="AM32" i="33"/>
  <c r="AU32" i="33"/>
  <c r="BC32" i="33"/>
  <c r="H32" i="33"/>
  <c r="P32" i="33"/>
  <c r="X32" i="33"/>
  <c r="AF32" i="33"/>
  <c r="AN32" i="33"/>
  <c r="AV32" i="33"/>
  <c r="BD32" i="33"/>
  <c r="I32" i="33"/>
  <c r="Q32" i="33"/>
  <c r="Y32" i="33"/>
  <c r="AG32" i="33"/>
  <c r="AO32" i="33"/>
  <c r="AA5" i="2"/>
  <c r="AA6" i="2"/>
  <c r="AA7" i="2"/>
  <c r="AA9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W5" i="2"/>
  <c r="W7" i="2"/>
  <c r="W8" i="2"/>
  <c r="W9" i="2"/>
  <c r="W12" i="2"/>
  <c r="W15" i="2"/>
  <c r="W17" i="2"/>
  <c r="W18" i="2"/>
  <c r="W19" i="2"/>
  <c r="W20" i="2"/>
  <c r="W21" i="2"/>
  <c r="W22" i="2"/>
  <c r="W23" i="2"/>
  <c r="W24" i="2"/>
  <c r="W25" i="2"/>
  <c r="W26" i="2"/>
  <c r="W27" i="2"/>
  <c r="V5" i="2"/>
  <c r="V7" i="2"/>
  <c r="V8" i="2"/>
  <c r="V9" i="2"/>
  <c r="V12" i="2"/>
  <c r="V15" i="2"/>
  <c r="V17" i="2"/>
  <c r="V18" i="2"/>
  <c r="V19" i="2"/>
  <c r="V20" i="2"/>
  <c r="V21" i="2"/>
  <c r="V22" i="2"/>
  <c r="V23" i="2"/>
  <c r="V24" i="2"/>
  <c r="V25" i="2"/>
  <c r="V26" i="2"/>
  <c r="V27" i="2"/>
  <c r="U18" i="2"/>
  <c r="U7" i="2"/>
  <c r="U5" i="2"/>
  <c r="U8" i="2"/>
  <c r="U9" i="2"/>
  <c r="U12" i="2"/>
  <c r="U15" i="2"/>
  <c r="U17" i="2"/>
  <c r="U19" i="2"/>
  <c r="U20" i="2"/>
  <c r="U21" i="2"/>
  <c r="U22" i="2"/>
  <c r="U23" i="2"/>
  <c r="U24" i="2"/>
  <c r="U25" i="2"/>
  <c r="U26" i="2"/>
  <c r="U27" i="2"/>
  <c r="T5" i="2"/>
  <c r="T6" i="2"/>
  <c r="T7" i="2"/>
  <c r="T8" i="2"/>
  <c r="T10" i="2"/>
  <c r="T11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S5" i="2"/>
  <c r="S6" i="2"/>
  <c r="S7" i="2"/>
  <c r="S8" i="2"/>
  <c r="S9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P7" i="2"/>
  <c r="P6" i="2"/>
  <c r="P8" i="2"/>
  <c r="P9" i="2"/>
  <c r="P12" i="2"/>
  <c r="P14" i="2"/>
  <c r="P16" i="2"/>
  <c r="P17" i="2"/>
  <c r="P18" i="2"/>
  <c r="P19" i="2"/>
  <c r="P20" i="2"/>
  <c r="P21" i="2"/>
  <c r="P22" i="2"/>
  <c r="P23" i="2"/>
  <c r="P24" i="2"/>
  <c r="P25" i="2"/>
  <c r="P26" i="2"/>
  <c r="O7" i="2"/>
  <c r="O6" i="2"/>
  <c r="O8" i="2"/>
  <c r="O14" i="2"/>
  <c r="O16" i="2"/>
  <c r="O17" i="2"/>
  <c r="O18" i="2"/>
  <c r="O19" i="2"/>
  <c r="O20" i="2"/>
  <c r="O21" i="2"/>
  <c r="O22" i="2"/>
  <c r="O23" i="2"/>
  <c r="O24" i="2"/>
  <c r="O25" i="2"/>
  <c r="O26" i="2"/>
  <c r="N7" i="2"/>
  <c r="N6" i="2"/>
  <c r="N5" i="2"/>
  <c r="N8" i="2"/>
  <c r="N10" i="2"/>
  <c r="N11" i="2"/>
  <c r="N12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M5" i="2"/>
  <c r="M6" i="2"/>
  <c r="M7" i="2"/>
  <c r="M8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G97" i="6"/>
  <c r="H97" i="6" s="1"/>
  <c r="G96" i="6"/>
  <c r="H96" i="6" s="1"/>
  <c r="F95" i="6"/>
  <c r="G95" i="6" s="1"/>
  <c r="H95" i="6" s="1"/>
  <c r="F94" i="6"/>
  <c r="G94" i="6" s="1"/>
  <c r="F93" i="6"/>
  <c r="G93" i="6" s="1"/>
  <c r="F92" i="6"/>
  <c r="G92" i="6" s="1"/>
  <c r="H92" i="6" s="1"/>
  <c r="F91" i="6"/>
  <c r="G91" i="6" s="1"/>
  <c r="H91" i="6" s="1"/>
  <c r="F90" i="6"/>
  <c r="G90" i="6" s="1"/>
  <c r="H90" i="6" s="1"/>
  <c r="G86" i="6"/>
  <c r="H86" i="6" s="1"/>
  <c r="G85" i="6"/>
  <c r="H85" i="6" s="1"/>
  <c r="F84" i="6"/>
  <c r="G84" i="6" s="1"/>
  <c r="H84" i="6" s="1"/>
  <c r="F83" i="6"/>
  <c r="G83" i="6" s="1"/>
  <c r="F82" i="6"/>
  <c r="G82" i="6" s="1"/>
  <c r="F81" i="6"/>
  <c r="G81" i="6" s="1"/>
  <c r="H81" i="6" s="1"/>
  <c r="F80" i="6"/>
  <c r="G80" i="6" s="1"/>
  <c r="H80" i="6" s="1"/>
  <c r="F79" i="6"/>
  <c r="G79" i="6" s="1"/>
  <c r="H79" i="6" s="1"/>
  <c r="G75" i="6"/>
  <c r="H75" i="6" s="1"/>
  <c r="G74" i="6"/>
  <c r="H74" i="6" s="1"/>
  <c r="F73" i="6"/>
  <c r="G73" i="6" s="1"/>
  <c r="H73" i="6" s="1"/>
  <c r="F72" i="6"/>
  <c r="G72" i="6" s="1"/>
  <c r="F71" i="6"/>
  <c r="G71" i="6" s="1"/>
  <c r="H71" i="6" s="1"/>
  <c r="F70" i="6"/>
  <c r="G70" i="6" s="1"/>
  <c r="H70" i="6" s="1"/>
  <c r="F69" i="6"/>
  <c r="G69" i="6" s="1"/>
  <c r="H69" i="6" s="1"/>
  <c r="F68" i="6"/>
  <c r="G68" i="6" s="1"/>
  <c r="H68" i="6" s="1"/>
  <c r="G64" i="6"/>
  <c r="H64" i="6" s="1"/>
  <c r="G63" i="6"/>
  <c r="H63" i="6" s="1"/>
  <c r="G62" i="6"/>
  <c r="H62" i="6" s="1"/>
  <c r="F62" i="6"/>
  <c r="F61" i="6"/>
  <c r="G61" i="6" s="1"/>
  <c r="F60" i="6"/>
  <c r="G60" i="6" s="1"/>
  <c r="F59" i="6"/>
  <c r="G59" i="6" s="1"/>
  <c r="H59" i="6" s="1"/>
  <c r="F58" i="6"/>
  <c r="G58" i="6" s="1"/>
  <c r="H58" i="6" s="1"/>
  <c r="F57" i="6"/>
  <c r="G57" i="6" s="1"/>
  <c r="H57" i="6" s="1"/>
  <c r="G53" i="6"/>
  <c r="H53" i="6" s="1"/>
  <c r="H52" i="6"/>
  <c r="G52" i="6"/>
  <c r="F51" i="6"/>
  <c r="G51" i="6" s="1"/>
  <c r="H51" i="6" s="1"/>
  <c r="F50" i="6"/>
  <c r="G50" i="6" s="1"/>
  <c r="F49" i="6"/>
  <c r="G49" i="6" s="1"/>
  <c r="F48" i="6"/>
  <c r="G48" i="6" s="1"/>
  <c r="H48" i="6" s="1"/>
  <c r="F47" i="6"/>
  <c r="G47" i="6" s="1"/>
  <c r="H47" i="6" s="1"/>
  <c r="F46" i="6"/>
  <c r="G46" i="6" s="1"/>
  <c r="H46" i="6" s="1"/>
  <c r="G42" i="6"/>
  <c r="H42" i="6" s="1"/>
  <c r="G41" i="6"/>
  <c r="H41" i="6" s="1"/>
  <c r="G37" i="6"/>
  <c r="G35" i="6"/>
  <c r="F40" i="6"/>
  <c r="G40" i="6" s="1"/>
  <c r="H40" i="6" s="1"/>
  <c r="F39" i="6"/>
  <c r="G39" i="6" s="1"/>
  <c r="F38" i="6"/>
  <c r="G38" i="6" s="1"/>
  <c r="F37" i="6"/>
  <c r="F36" i="6"/>
  <c r="G36" i="6" s="1"/>
  <c r="H36" i="6" s="1"/>
  <c r="F35" i="6"/>
  <c r="F28" i="6"/>
  <c r="G28" i="6" s="1"/>
  <c r="AM21" i="37" l="1"/>
  <c r="J21" i="37"/>
  <c r="AM29" i="37"/>
  <c r="J29" i="37"/>
  <c r="W24" i="37"/>
  <c r="W26" i="37"/>
  <c r="W16" i="37"/>
  <c r="AM16" i="37" s="1"/>
  <c r="W38" i="37"/>
  <c r="V16" i="37"/>
  <c r="AL16" i="37" s="1"/>
  <c r="V30" i="37"/>
  <c r="AL30" i="37" s="1"/>
  <c r="AL31" i="37"/>
  <c r="J31" i="37"/>
  <c r="H83" i="6"/>
  <c r="H82" i="6"/>
  <c r="H50" i="6"/>
  <c r="H49" i="6"/>
  <c r="H37" i="6"/>
  <c r="H35" i="6"/>
  <c r="BE14" i="33"/>
  <c r="BF14" i="33" s="1"/>
  <c r="BE36" i="33"/>
  <c r="BF36" i="33" s="1"/>
  <c r="W36" i="37" s="1"/>
  <c r="AM36" i="37" s="1"/>
  <c r="BE11" i="33"/>
  <c r="BF11" i="33" s="1"/>
  <c r="V32" i="37" s="1"/>
  <c r="AL32" i="37" s="1"/>
  <c r="BE34" i="33"/>
  <c r="BF34" i="33" s="1"/>
  <c r="W32" i="37" s="1"/>
  <c r="AM32" i="37" s="1"/>
  <c r="BE49" i="33"/>
  <c r="BF49" i="33" s="1"/>
  <c r="Y13" i="2" s="1"/>
  <c r="BE10" i="33"/>
  <c r="BF10" i="33" s="1"/>
  <c r="V35" i="37" s="1"/>
  <c r="AL35" i="37" s="1"/>
  <c r="BE24" i="33"/>
  <c r="BF24" i="33" s="1"/>
  <c r="X13" i="2" s="1"/>
  <c r="BE13" i="33"/>
  <c r="BF13" i="33" s="1"/>
  <c r="V36" i="37" s="1"/>
  <c r="BE32" i="33"/>
  <c r="BF32" i="33" s="1"/>
  <c r="W34" i="37" s="1"/>
  <c r="AM34" i="37" s="1"/>
  <c r="BE7" i="33"/>
  <c r="BF7" i="33" s="1"/>
  <c r="V37" i="37" s="1"/>
  <c r="BE43" i="33"/>
  <c r="BF43" i="33" s="1"/>
  <c r="BE9" i="33"/>
  <c r="BF9" i="33" s="1"/>
  <c r="V34" i="37" s="1"/>
  <c r="AL34" i="37" s="1"/>
  <c r="BE33" i="33"/>
  <c r="BF33" i="33" s="1"/>
  <c r="W35" i="37" s="1"/>
  <c r="AM35" i="37" s="1"/>
  <c r="BE18" i="33"/>
  <c r="BF18" i="33" s="1"/>
  <c r="V41" i="37" s="1"/>
  <c r="AL41" i="37" s="1"/>
  <c r="BE38" i="33"/>
  <c r="BF38" i="33" s="1"/>
  <c r="W19" i="37" s="1"/>
  <c r="H94" i="6"/>
  <c r="H93" i="6"/>
  <c r="H72" i="6"/>
  <c r="H61" i="6"/>
  <c r="H60" i="6"/>
  <c r="H38" i="6"/>
  <c r="H39" i="6"/>
  <c r="F21" i="4"/>
  <c r="G29" i="31"/>
  <c r="BG51" i="31"/>
  <c r="BG52" i="31"/>
  <c r="BG53" i="31"/>
  <c r="BG54" i="31"/>
  <c r="BG55" i="31"/>
  <c r="BG56" i="31"/>
  <c r="BG57" i="31"/>
  <c r="BG58" i="31"/>
  <c r="BG59" i="31"/>
  <c r="BG60" i="31"/>
  <c r="BG61" i="31"/>
  <c r="BG62" i="31"/>
  <c r="BG63" i="31"/>
  <c r="BG64" i="31"/>
  <c r="BG65" i="31"/>
  <c r="BG66" i="31"/>
  <c r="BG67" i="31"/>
  <c r="BG68" i="31"/>
  <c r="BG69" i="31"/>
  <c r="BG70" i="31"/>
  <c r="BG71" i="31"/>
  <c r="BG72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V51" i="31"/>
  <c r="W51" i="31"/>
  <c r="X51" i="31"/>
  <c r="Y51" i="31"/>
  <c r="Z51" i="31"/>
  <c r="AA51" i="31"/>
  <c r="AB51" i="31"/>
  <c r="AC51" i="31"/>
  <c r="AD51" i="31"/>
  <c r="AE51" i="31"/>
  <c r="AF51" i="31"/>
  <c r="AG51" i="31"/>
  <c r="AH51" i="31"/>
  <c r="AI51" i="31"/>
  <c r="AJ51" i="31"/>
  <c r="AK51" i="31"/>
  <c r="AL51" i="31"/>
  <c r="AM51" i="31"/>
  <c r="AN51" i="31"/>
  <c r="AO51" i="31"/>
  <c r="AP51" i="31"/>
  <c r="AQ51" i="31"/>
  <c r="AR51" i="31"/>
  <c r="AS51" i="31"/>
  <c r="AT51" i="31"/>
  <c r="AU51" i="31"/>
  <c r="AV51" i="31"/>
  <c r="AW51" i="31"/>
  <c r="AX51" i="31"/>
  <c r="AY51" i="31"/>
  <c r="AZ51" i="31"/>
  <c r="BA51" i="31"/>
  <c r="BB51" i="31"/>
  <c r="BC51" i="31"/>
  <c r="BD51" i="31"/>
  <c r="H52" i="31"/>
  <c r="I52" i="31"/>
  <c r="J52" i="31"/>
  <c r="K52" i="31"/>
  <c r="L52" i="31"/>
  <c r="M52" i="31"/>
  <c r="N52" i="31"/>
  <c r="O52" i="31"/>
  <c r="P52" i="31"/>
  <c r="Q52" i="31"/>
  <c r="R52" i="31"/>
  <c r="S52" i="31"/>
  <c r="T52" i="31"/>
  <c r="U52" i="31"/>
  <c r="V52" i="31"/>
  <c r="W52" i="31"/>
  <c r="X52" i="31"/>
  <c r="Y52" i="31"/>
  <c r="Z52" i="31"/>
  <c r="AA52" i="31"/>
  <c r="AB52" i="31"/>
  <c r="AC52" i="31"/>
  <c r="AD52" i="31"/>
  <c r="AE52" i="31"/>
  <c r="AF52" i="31"/>
  <c r="AG52" i="31"/>
  <c r="AH52" i="31"/>
  <c r="AI52" i="31"/>
  <c r="AJ52" i="31"/>
  <c r="AK52" i="31"/>
  <c r="AL52" i="31"/>
  <c r="AM52" i="31"/>
  <c r="AN52" i="31"/>
  <c r="AO52" i="31"/>
  <c r="AP52" i="31"/>
  <c r="AQ52" i="31"/>
  <c r="AR52" i="31"/>
  <c r="AS52" i="31"/>
  <c r="AT52" i="31"/>
  <c r="AU52" i="31"/>
  <c r="AV52" i="31"/>
  <c r="AW52" i="31"/>
  <c r="AX52" i="31"/>
  <c r="AY52" i="31"/>
  <c r="AZ52" i="31"/>
  <c r="BA52" i="31"/>
  <c r="BB52" i="31"/>
  <c r="BC52" i="31"/>
  <c r="BD52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V56" i="31"/>
  <c r="W56" i="31"/>
  <c r="X56" i="31"/>
  <c r="Y56" i="31"/>
  <c r="Z56" i="31"/>
  <c r="AA56" i="31"/>
  <c r="AB56" i="31"/>
  <c r="AC56" i="31"/>
  <c r="AD56" i="31"/>
  <c r="AE56" i="31"/>
  <c r="AF56" i="31"/>
  <c r="AG56" i="31"/>
  <c r="AH56" i="31"/>
  <c r="AI56" i="31"/>
  <c r="AJ56" i="31"/>
  <c r="AK56" i="31"/>
  <c r="AL56" i="31"/>
  <c r="AM56" i="31"/>
  <c r="AN56" i="31"/>
  <c r="AO56" i="31"/>
  <c r="AP56" i="31"/>
  <c r="AQ56" i="31"/>
  <c r="AR56" i="31"/>
  <c r="AS56" i="31"/>
  <c r="AT56" i="31"/>
  <c r="AU56" i="31"/>
  <c r="AV56" i="31"/>
  <c r="AW56" i="31"/>
  <c r="AX56" i="31"/>
  <c r="AY56" i="31"/>
  <c r="AZ56" i="31"/>
  <c r="BA56" i="31"/>
  <c r="BB56" i="31"/>
  <c r="BC56" i="31"/>
  <c r="BD56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V59" i="31"/>
  <c r="W59" i="31"/>
  <c r="X59" i="31"/>
  <c r="Y59" i="31"/>
  <c r="Z59" i="31"/>
  <c r="AA59" i="31"/>
  <c r="AB59" i="31"/>
  <c r="AC59" i="31"/>
  <c r="AD59" i="31"/>
  <c r="AE59" i="31"/>
  <c r="AF59" i="31"/>
  <c r="AG59" i="31"/>
  <c r="AH59" i="31"/>
  <c r="AI59" i="31"/>
  <c r="AJ59" i="31"/>
  <c r="AK59" i="31"/>
  <c r="AL59" i="31"/>
  <c r="AM59" i="31"/>
  <c r="AN59" i="31"/>
  <c r="AO59" i="31"/>
  <c r="AP59" i="31"/>
  <c r="AQ59" i="31"/>
  <c r="AR59" i="31"/>
  <c r="AS59" i="31"/>
  <c r="AT59" i="31"/>
  <c r="AU59" i="31"/>
  <c r="AV59" i="31"/>
  <c r="AW59" i="31"/>
  <c r="AX59" i="31"/>
  <c r="AY59" i="31"/>
  <c r="AZ59" i="31"/>
  <c r="BA59" i="31"/>
  <c r="BB59" i="31"/>
  <c r="BC59" i="31"/>
  <c r="BD59" i="31"/>
  <c r="H60" i="31"/>
  <c r="I60" i="31"/>
  <c r="J60" i="31"/>
  <c r="K60" i="31"/>
  <c r="L60" i="31"/>
  <c r="M60" i="31"/>
  <c r="N60" i="31"/>
  <c r="O60" i="31"/>
  <c r="P60" i="31"/>
  <c r="Q60" i="31"/>
  <c r="R60" i="31"/>
  <c r="S60" i="31"/>
  <c r="T60" i="31"/>
  <c r="U60" i="31"/>
  <c r="V60" i="31"/>
  <c r="W60" i="31"/>
  <c r="X60" i="31"/>
  <c r="Y60" i="31"/>
  <c r="Z60" i="31"/>
  <c r="AA60" i="31"/>
  <c r="AB60" i="31"/>
  <c r="AC60" i="31"/>
  <c r="AD60" i="31"/>
  <c r="AE60" i="31"/>
  <c r="AF60" i="31"/>
  <c r="AG60" i="31"/>
  <c r="AH60" i="31"/>
  <c r="AI60" i="31"/>
  <c r="AJ60" i="31"/>
  <c r="AK60" i="31"/>
  <c r="AL60" i="31"/>
  <c r="AM60" i="31"/>
  <c r="AN60" i="31"/>
  <c r="AO60" i="31"/>
  <c r="AP60" i="31"/>
  <c r="AQ60" i="31"/>
  <c r="AR60" i="31"/>
  <c r="AS60" i="31"/>
  <c r="AT60" i="31"/>
  <c r="AU60" i="31"/>
  <c r="AV60" i="31"/>
  <c r="AW60" i="31"/>
  <c r="AX60" i="31"/>
  <c r="AY60" i="31"/>
  <c r="AZ60" i="31"/>
  <c r="BA60" i="31"/>
  <c r="BB60" i="31"/>
  <c r="BC60" i="31"/>
  <c r="BD60" i="31"/>
  <c r="H62" i="31"/>
  <c r="I62" i="31"/>
  <c r="J62" i="31"/>
  <c r="K62" i="31"/>
  <c r="L62" i="31"/>
  <c r="M62" i="31"/>
  <c r="N62" i="31"/>
  <c r="O62" i="31"/>
  <c r="P62" i="31"/>
  <c r="Q62" i="31"/>
  <c r="R62" i="31"/>
  <c r="S62" i="31"/>
  <c r="T62" i="31"/>
  <c r="U62" i="31"/>
  <c r="V62" i="31"/>
  <c r="W62" i="31"/>
  <c r="X62" i="31"/>
  <c r="Y62" i="31"/>
  <c r="Z62" i="31"/>
  <c r="AA62" i="31"/>
  <c r="AB62" i="31"/>
  <c r="AC62" i="31"/>
  <c r="AD62" i="31"/>
  <c r="AE62" i="31"/>
  <c r="AF62" i="31"/>
  <c r="AG62" i="31"/>
  <c r="AH62" i="31"/>
  <c r="AI62" i="31"/>
  <c r="AJ62" i="31"/>
  <c r="AK62" i="31"/>
  <c r="AL62" i="31"/>
  <c r="AM62" i="31"/>
  <c r="AN62" i="31"/>
  <c r="AO62" i="31"/>
  <c r="AP62" i="31"/>
  <c r="AQ62" i="31"/>
  <c r="AR62" i="31"/>
  <c r="AS62" i="31"/>
  <c r="AT62" i="31"/>
  <c r="AU62" i="31"/>
  <c r="AV62" i="31"/>
  <c r="AW62" i="31"/>
  <c r="AX62" i="31"/>
  <c r="AY62" i="31"/>
  <c r="AZ62" i="31"/>
  <c r="BA62" i="31"/>
  <c r="BB62" i="31"/>
  <c r="BC62" i="31"/>
  <c r="BD62" i="31"/>
  <c r="H63" i="31"/>
  <c r="I63" i="31"/>
  <c r="J63" i="31"/>
  <c r="K63" i="31"/>
  <c r="L63" i="31"/>
  <c r="M63" i="31"/>
  <c r="N63" i="31"/>
  <c r="O63" i="31"/>
  <c r="P63" i="31"/>
  <c r="Q63" i="31"/>
  <c r="R63" i="31"/>
  <c r="S63" i="31"/>
  <c r="T63" i="31"/>
  <c r="U63" i="31"/>
  <c r="V63" i="31"/>
  <c r="W63" i="31"/>
  <c r="X63" i="31"/>
  <c r="Y63" i="31"/>
  <c r="Z63" i="31"/>
  <c r="AA63" i="31"/>
  <c r="AB63" i="31"/>
  <c r="AC63" i="31"/>
  <c r="AD63" i="31"/>
  <c r="AE63" i="31"/>
  <c r="AF63" i="31"/>
  <c r="AG63" i="31"/>
  <c r="AH63" i="31"/>
  <c r="AI63" i="31"/>
  <c r="AJ63" i="31"/>
  <c r="AK63" i="31"/>
  <c r="AL63" i="31"/>
  <c r="AM63" i="31"/>
  <c r="AN63" i="31"/>
  <c r="AO63" i="31"/>
  <c r="AP63" i="31"/>
  <c r="AQ63" i="31"/>
  <c r="AR63" i="31"/>
  <c r="AS63" i="31"/>
  <c r="AT63" i="31"/>
  <c r="AU63" i="31"/>
  <c r="AV63" i="31"/>
  <c r="AW63" i="31"/>
  <c r="AX63" i="31"/>
  <c r="AY63" i="31"/>
  <c r="AZ63" i="31"/>
  <c r="BA63" i="31"/>
  <c r="BB63" i="31"/>
  <c r="BC63" i="31"/>
  <c r="BD63" i="31"/>
  <c r="H65" i="31"/>
  <c r="I65" i="31"/>
  <c r="J65" i="31"/>
  <c r="K65" i="31"/>
  <c r="L65" i="31"/>
  <c r="M65" i="31"/>
  <c r="N65" i="31"/>
  <c r="O65" i="31"/>
  <c r="P65" i="31"/>
  <c r="Q65" i="31"/>
  <c r="R65" i="31"/>
  <c r="S65" i="31"/>
  <c r="T65" i="31"/>
  <c r="U65" i="31"/>
  <c r="V65" i="31"/>
  <c r="W65" i="31"/>
  <c r="X65" i="31"/>
  <c r="Y65" i="31"/>
  <c r="Z65" i="31"/>
  <c r="AA65" i="31"/>
  <c r="AB65" i="31"/>
  <c r="AC65" i="31"/>
  <c r="AD65" i="31"/>
  <c r="AE65" i="31"/>
  <c r="AF65" i="31"/>
  <c r="AG65" i="31"/>
  <c r="AH65" i="31"/>
  <c r="AI65" i="31"/>
  <c r="AJ65" i="31"/>
  <c r="AK65" i="31"/>
  <c r="AL65" i="31"/>
  <c r="AM65" i="31"/>
  <c r="AN65" i="31"/>
  <c r="AO65" i="31"/>
  <c r="AP65" i="31"/>
  <c r="AQ65" i="31"/>
  <c r="AR65" i="31"/>
  <c r="AS65" i="31"/>
  <c r="AT65" i="31"/>
  <c r="AU65" i="31"/>
  <c r="AV65" i="31"/>
  <c r="AW65" i="31"/>
  <c r="AX65" i="31"/>
  <c r="AY65" i="31"/>
  <c r="AZ65" i="31"/>
  <c r="BA65" i="31"/>
  <c r="BB65" i="31"/>
  <c r="BC65" i="31"/>
  <c r="BD65" i="31"/>
  <c r="H66" i="31"/>
  <c r="I66" i="31"/>
  <c r="J66" i="31"/>
  <c r="K66" i="31"/>
  <c r="L66" i="31"/>
  <c r="M66" i="31"/>
  <c r="N66" i="31"/>
  <c r="O66" i="31"/>
  <c r="P66" i="31"/>
  <c r="Q66" i="31"/>
  <c r="R66" i="31"/>
  <c r="S66" i="31"/>
  <c r="T66" i="31"/>
  <c r="U66" i="31"/>
  <c r="V66" i="31"/>
  <c r="W66" i="31"/>
  <c r="X66" i="31"/>
  <c r="Y66" i="31"/>
  <c r="Z66" i="31"/>
  <c r="AA66" i="31"/>
  <c r="AB66" i="31"/>
  <c r="AC66" i="31"/>
  <c r="AD66" i="31"/>
  <c r="AE66" i="31"/>
  <c r="AF66" i="31"/>
  <c r="AG66" i="31"/>
  <c r="AH66" i="31"/>
  <c r="AI66" i="31"/>
  <c r="AJ66" i="31"/>
  <c r="AK66" i="31"/>
  <c r="AL66" i="31"/>
  <c r="AM66" i="31"/>
  <c r="AN66" i="31"/>
  <c r="AO66" i="31"/>
  <c r="AP66" i="31"/>
  <c r="AQ66" i="31"/>
  <c r="AR66" i="31"/>
  <c r="AS66" i="31"/>
  <c r="AT66" i="31"/>
  <c r="AU66" i="31"/>
  <c r="AV66" i="31"/>
  <c r="AW66" i="31"/>
  <c r="AX66" i="31"/>
  <c r="AY66" i="31"/>
  <c r="AZ66" i="31"/>
  <c r="BA66" i="31"/>
  <c r="BB66" i="31"/>
  <c r="BC66" i="31"/>
  <c r="BD66" i="31"/>
  <c r="H67" i="31"/>
  <c r="I67" i="31"/>
  <c r="J67" i="31"/>
  <c r="K67" i="31"/>
  <c r="L67" i="31"/>
  <c r="M67" i="31"/>
  <c r="N67" i="31"/>
  <c r="O67" i="31"/>
  <c r="P67" i="31"/>
  <c r="Q67" i="31"/>
  <c r="R67" i="31"/>
  <c r="S67" i="31"/>
  <c r="T67" i="31"/>
  <c r="U67" i="31"/>
  <c r="V67" i="31"/>
  <c r="W67" i="31"/>
  <c r="X67" i="31"/>
  <c r="Y67" i="31"/>
  <c r="Z67" i="31"/>
  <c r="AA67" i="31"/>
  <c r="AB67" i="31"/>
  <c r="AC67" i="31"/>
  <c r="AD67" i="31"/>
  <c r="AE67" i="31"/>
  <c r="AF67" i="31"/>
  <c r="AG67" i="31"/>
  <c r="AH67" i="31"/>
  <c r="AI67" i="31"/>
  <c r="AJ67" i="31"/>
  <c r="AK67" i="31"/>
  <c r="AL67" i="31"/>
  <c r="AM67" i="31"/>
  <c r="AN67" i="31"/>
  <c r="AO67" i="31"/>
  <c r="AP67" i="31"/>
  <c r="AQ67" i="31"/>
  <c r="AR67" i="31"/>
  <c r="AS67" i="31"/>
  <c r="AT67" i="31"/>
  <c r="AU67" i="31"/>
  <c r="AV67" i="31"/>
  <c r="AW67" i="31"/>
  <c r="AX67" i="31"/>
  <c r="AY67" i="31"/>
  <c r="AZ67" i="31"/>
  <c r="BA67" i="31"/>
  <c r="BB67" i="31"/>
  <c r="BC67" i="31"/>
  <c r="BD67" i="31"/>
  <c r="H68" i="31"/>
  <c r="I68" i="31"/>
  <c r="J68" i="31"/>
  <c r="K68" i="31"/>
  <c r="L68" i="31"/>
  <c r="M68" i="31"/>
  <c r="N68" i="31"/>
  <c r="O68" i="31"/>
  <c r="P68" i="31"/>
  <c r="Q68" i="31"/>
  <c r="R68" i="31"/>
  <c r="S68" i="31"/>
  <c r="T68" i="31"/>
  <c r="U68" i="31"/>
  <c r="V68" i="31"/>
  <c r="W68" i="31"/>
  <c r="X68" i="31"/>
  <c r="Y68" i="31"/>
  <c r="Z68" i="31"/>
  <c r="AA68" i="31"/>
  <c r="AB68" i="31"/>
  <c r="AC68" i="31"/>
  <c r="AD68" i="31"/>
  <c r="AE68" i="31"/>
  <c r="AF68" i="31"/>
  <c r="AG68" i="31"/>
  <c r="AH68" i="31"/>
  <c r="AI68" i="31"/>
  <c r="AJ68" i="31"/>
  <c r="AK68" i="31"/>
  <c r="AL68" i="31"/>
  <c r="AM68" i="31"/>
  <c r="AN68" i="31"/>
  <c r="AO68" i="31"/>
  <c r="AP68" i="31"/>
  <c r="AQ68" i="31"/>
  <c r="AR68" i="31"/>
  <c r="AS68" i="31"/>
  <c r="AT68" i="31"/>
  <c r="AU68" i="31"/>
  <c r="AV68" i="31"/>
  <c r="AW68" i="31"/>
  <c r="AX68" i="31"/>
  <c r="AY68" i="31"/>
  <c r="AZ68" i="31"/>
  <c r="BA68" i="31"/>
  <c r="BB68" i="31"/>
  <c r="BC68" i="31"/>
  <c r="BD68" i="31"/>
  <c r="H69" i="31"/>
  <c r="I69" i="31"/>
  <c r="J69" i="31"/>
  <c r="K69" i="31"/>
  <c r="L69" i="31"/>
  <c r="M69" i="31"/>
  <c r="N69" i="31"/>
  <c r="O69" i="31"/>
  <c r="P69" i="31"/>
  <c r="Q69" i="31"/>
  <c r="R69" i="31"/>
  <c r="S69" i="31"/>
  <c r="T69" i="31"/>
  <c r="U69" i="31"/>
  <c r="V69" i="31"/>
  <c r="W69" i="31"/>
  <c r="X69" i="31"/>
  <c r="Y69" i="31"/>
  <c r="Z69" i="31"/>
  <c r="AA69" i="31"/>
  <c r="AB69" i="31"/>
  <c r="AC69" i="31"/>
  <c r="AD69" i="31"/>
  <c r="AE69" i="31"/>
  <c r="AF69" i="31"/>
  <c r="AG69" i="31"/>
  <c r="AH69" i="31"/>
  <c r="AI69" i="31"/>
  <c r="AJ69" i="31"/>
  <c r="AK69" i="31"/>
  <c r="AL69" i="31"/>
  <c r="AM69" i="31"/>
  <c r="AN69" i="31"/>
  <c r="AO69" i="31"/>
  <c r="AP69" i="31"/>
  <c r="AQ69" i="31"/>
  <c r="AR69" i="31"/>
  <c r="AS69" i="31"/>
  <c r="AT69" i="31"/>
  <c r="AU69" i="31"/>
  <c r="AV69" i="31"/>
  <c r="AW69" i="31"/>
  <c r="AX69" i="31"/>
  <c r="AY69" i="31"/>
  <c r="AZ69" i="31"/>
  <c r="BA69" i="31"/>
  <c r="BB69" i="31"/>
  <c r="BC69" i="31"/>
  <c r="BD69" i="31"/>
  <c r="H71" i="31"/>
  <c r="I71" i="31"/>
  <c r="J71" i="31"/>
  <c r="K71" i="31"/>
  <c r="L71" i="31"/>
  <c r="M71" i="31"/>
  <c r="N71" i="31"/>
  <c r="O71" i="31"/>
  <c r="P71" i="31"/>
  <c r="Q71" i="31"/>
  <c r="R71" i="31"/>
  <c r="S71" i="31"/>
  <c r="T71" i="31"/>
  <c r="U71" i="31"/>
  <c r="V71" i="31"/>
  <c r="W71" i="31"/>
  <c r="X71" i="31"/>
  <c r="Y71" i="31"/>
  <c r="Z71" i="31"/>
  <c r="AA71" i="31"/>
  <c r="AB71" i="31"/>
  <c r="AC71" i="31"/>
  <c r="AD71" i="31"/>
  <c r="AE71" i="31"/>
  <c r="AF71" i="31"/>
  <c r="AG71" i="31"/>
  <c r="AH71" i="31"/>
  <c r="AI71" i="31"/>
  <c r="AJ71" i="31"/>
  <c r="AK71" i="31"/>
  <c r="AL71" i="31"/>
  <c r="AM71" i="31"/>
  <c r="AN71" i="31"/>
  <c r="AO71" i="31"/>
  <c r="AP71" i="31"/>
  <c r="AQ71" i="31"/>
  <c r="AR71" i="31"/>
  <c r="AS71" i="31"/>
  <c r="AT71" i="31"/>
  <c r="AU71" i="31"/>
  <c r="AV71" i="31"/>
  <c r="AW71" i="31"/>
  <c r="AX71" i="31"/>
  <c r="AY71" i="31"/>
  <c r="AZ71" i="31"/>
  <c r="BA71" i="31"/>
  <c r="BB71" i="31"/>
  <c r="BC71" i="31"/>
  <c r="BD71" i="31"/>
  <c r="H72" i="31"/>
  <c r="I72" i="31"/>
  <c r="J72" i="31"/>
  <c r="K72" i="31"/>
  <c r="L72" i="31"/>
  <c r="M72" i="31"/>
  <c r="N72" i="31"/>
  <c r="O72" i="31"/>
  <c r="P72" i="31"/>
  <c r="Q72" i="31"/>
  <c r="R72" i="31"/>
  <c r="S72" i="31"/>
  <c r="T72" i="31"/>
  <c r="U72" i="31"/>
  <c r="V72" i="31"/>
  <c r="W72" i="31"/>
  <c r="X72" i="31"/>
  <c r="Y72" i="31"/>
  <c r="Z72" i="31"/>
  <c r="AA72" i="31"/>
  <c r="AB72" i="31"/>
  <c r="AC72" i="31"/>
  <c r="AD72" i="31"/>
  <c r="AE72" i="31"/>
  <c r="AF72" i="31"/>
  <c r="AG72" i="31"/>
  <c r="AH72" i="31"/>
  <c r="AI72" i="31"/>
  <c r="AJ72" i="31"/>
  <c r="AK72" i="31"/>
  <c r="AL72" i="31"/>
  <c r="AM72" i="31"/>
  <c r="AN72" i="31"/>
  <c r="AO72" i="31"/>
  <c r="AP72" i="31"/>
  <c r="AQ72" i="31"/>
  <c r="AR72" i="31"/>
  <c r="AS72" i="31"/>
  <c r="AT72" i="31"/>
  <c r="AU72" i="31"/>
  <c r="AV72" i="31"/>
  <c r="AW72" i="31"/>
  <c r="AX72" i="31"/>
  <c r="AY72" i="31"/>
  <c r="AZ72" i="31"/>
  <c r="BA72" i="31"/>
  <c r="BB72" i="31"/>
  <c r="BC72" i="31"/>
  <c r="BD72" i="31"/>
  <c r="F58" i="31"/>
  <c r="O58" i="31" s="1"/>
  <c r="G51" i="31"/>
  <c r="G52" i="31"/>
  <c r="F53" i="31"/>
  <c r="G53" i="31"/>
  <c r="F54" i="31"/>
  <c r="G54" i="31"/>
  <c r="F55" i="31"/>
  <c r="G55" i="31"/>
  <c r="F57" i="31"/>
  <c r="J57" i="31" s="1"/>
  <c r="G56" i="31"/>
  <c r="G60" i="31"/>
  <c r="G66" i="31"/>
  <c r="G72" i="31"/>
  <c r="G71" i="31"/>
  <c r="F70" i="31"/>
  <c r="J70" i="31" s="1"/>
  <c r="G69" i="31"/>
  <c r="G68" i="31"/>
  <c r="G67" i="31"/>
  <c r="G65" i="31"/>
  <c r="F64" i="31"/>
  <c r="O64" i="31" s="1"/>
  <c r="G63" i="31"/>
  <c r="G62" i="31"/>
  <c r="AL36" i="37" l="1"/>
  <c r="J36" i="37"/>
  <c r="AM19" i="37"/>
  <c r="J19" i="37"/>
  <c r="AM24" i="37"/>
  <c r="J24" i="37"/>
  <c r="AM26" i="37"/>
  <c r="J26" i="37"/>
  <c r="AM38" i="37"/>
  <c r="J38" i="37"/>
  <c r="W41" i="37"/>
  <c r="V22" i="37"/>
  <c r="AL22" i="37" s="1"/>
  <c r="AL37" i="37"/>
  <c r="J37" i="37"/>
  <c r="BE52" i="31"/>
  <c r="BE56" i="31"/>
  <c r="G70" i="31"/>
  <c r="BE71" i="31"/>
  <c r="W14" i="2" s="1"/>
  <c r="BE68" i="31"/>
  <c r="W11" i="2" s="1"/>
  <c r="BE63" i="31"/>
  <c r="BE69" i="31"/>
  <c r="W6" i="2" s="1"/>
  <c r="BE60" i="31"/>
  <c r="BA70" i="31"/>
  <c r="AW70" i="31"/>
  <c r="AS70" i="31"/>
  <c r="AO70" i="31"/>
  <c r="AK70" i="31"/>
  <c r="AG70" i="31"/>
  <c r="AC70" i="31"/>
  <c r="Y70" i="31"/>
  <c r="U70" i="31"/>
  <c r="Q70" i="31"/>
  <c r="M70" i="31"/>
  <c r="I70" i="31"/>
  <c r="BB64" i="31"/>
  <c r="AW64" i="31"/>
  <c r="AQ64" i="31"/>
  <c r="AL64" i="31"/>
  <c r="AE64" i="31"/>
  <c r="W64" i="31"/>
  <c r="AW58" i="31"/>
  <c r="AO58" i="31"/>
  <c r="AG58" i="31"/>
  <c r="Y58" i="31"/>
  <c r="Q58" i="31"/>
  <c r="I58" i="31"/>
  <c r="AX57" i="31"/>
  <c r="AP57" i="31"/>
  <c r="AH57" i="31"/>
  <c r="Z57" i="31"/>
  <c r="R57" i="31"/>
  <c r="G64" i="31"/>
  <c r="J64" i="31"/>
  <c r="N64" i="31"/>
  <c r="R64" i="31"/>
  <c r="V64" i="31"/>
  <c r="Z64" i="31"/>
  <c r="AD64" i="31"/>
  <c r="AH64" i="31"/>
  <c r="H64" i="31"/>
  <c r="L64" i="31"/>
  <c r="P64" i="31"/>
  <c r="T64" i="31"/>
  <c r="X64" i="31"/>
  <c r="AB64" i="31"/>
  <c r="AF64" i="31"/>
  <c r="AJ64" i="31"/>
  <c r="AN64" i="31"/>
  <c r="AR64" i="31"/>
  <c r="AV64" i="31"/>
  <c r="AZ64" i="31"/>
  <c r="BD64" i="31"/>
  <c r="G57" i="31"/>
  <c r="I57" i="31"/>
  <c r="M57" i="31"/>
  <c r="Q57" i="31"/>
  <c r="U57" i="31"/>
  <c r="Y57" i="31"/>
  <c r="AC57" i="31"/>
  <c r="AG57" i="31"/>
  <c r="AK57" i="31"/>
  <c r="AO57" i="31"/>
  <c r="AS57" i="31"/>
  <c r="AW57" i="31"/>
  <c r="BA57" i="31"/>
  <c r="K57" i="31"/>
  <c r="O57" i="31"/>
  <c r="S57" i="31"/>
  <c r="W57" i="31"/>
  <c r="AA57" i="31"/>
  <c r="AE57" i="31"/>
  <c r="AI57" i="31"/>
  <c r="AM57" i="31"/>
  <c r="AQ57" i="31"/>
  <c r="AU57" i="31"/>
  <c r="AY57" i="31"/>
  <c r="BC57" i="31"/>
  <c r="K54" i="31"/>
  <c r="O54" i="31"/>
  <c r="S54" i="31"/>
  <c r="W54" i="31"/>
  <c r="AA54" i="31"/>
  <c r="AE54" i="31"/>
  <c r="AI54" i="31"/>
  <c r="AM54" i="31"/>
  <c r="AQ54" i="31"/>
  <c r="AU54" i="31"/>
  <c r="AY54" i="31"/>
  <c r="BC54" i="31"/>
  <c r="H54" i="31"/>
  <c r="L54" i="31"/>
  <c r="P54" i="31"/>
  <c r="T54" i="31"/>
  <c r="X54" i="31"/>
  <c r="AB54" i="31"/>
  <c r="AF54" i="31"/>
  <c r="AJ54" i="31"/>
  <c r="AN54" i="31"/>
  <c r="AR54" i="31"/>
  <c r="AV54" i="31"/>
  <c r="AZ54" i="31"/>
  <c r="BD54" i="31"/>
  <c r="I54" i="31"/>
  <c r="M54" i="31"/>
  <c r="Q54" i="31"/>
  <c r="U54" i="31"/>
  <c r="Y54" i="31"/>
  <c r="AC54" i="31"/>
  <c r="AG54" i="31"/>
  <c r="AK54" i="31"/>
  <c r="AO54" i="31"/>
  <c r="AS54" i="31"/>
  <c r="AW54" i="31"/>
  <c r="BA54" i="31"/>
  <c r="J54" i="31"/>
  <c r="N54" i="31"/>
  <c r="R54" i="31"/>
  <c r="V54" i="31"/>
  <c r="Z54" i="31"/>
  <c r="AD54" i="31"/>
  <c r="AH54" i="31"/>
  <c r="AL54" i="31"/>
  <c r="AP54" i="31"/>
  <c r="AT54" i="31"/>
  <c r="AX54" i="31"/>
  <c r="BB54" i="31"/>
  <c r="BD70" i="31"/>
  <c r="AZ70" i="31"/>
  <c r="AV70" i="31"/>
  <c r="AR70" i="31"/>
  <c r="AN70" i="31"/>
  <c r="AJ70" i="31"/>
  <c r="AF70" i="31"/>
  <c r="AB70" i="31"/>
  <c r="X70" i="31"/>
  <c r="T70" i="31"/>
  <c r="P70" i="31"/>
  <c r="L70" i="31"/>
  <c r="H70" i="31"/>
  <c r="BA64" i="31"/>
  <c r="AU64" i="31"/>
  <c r="AP64" i="31"/>
  <c r="AK64" i="31"/>
  <c r="AC64" i="31"/>
  <c r="U64" i="31"/>
  <c r="M64" i="31"/>
  <c r="BC58" i="31"/>
  <c r="AU58" i="31"/>
  <c r="AM58" i="31"/>
  <c r="AE58" i="31"/>
  <c r="W58" i="31"/>
  <c r="BD57" i="31"/>
  <c r="AV57" i="31"/>
  <c r="AN57" i="31"/>
  <c r="AF57" i="31"/>
  <c r="X57" i="31"/>
  <c r="P57" i="31"/>
  <c r="H57" i="31"/>
  <c r="H58" i="31"/>
  <c r="L58" i="31"/>
  <c r="P58" i="31"/>
  <c r="T58" i="31"/>
  <c r="X58" i="31"/>
  <c r="AB58" i="31"/>
  <c r="AF58" i="31"/>
  <c r="AJ58" i="31"/>
  <c r="AN58" i="31"/>
  <c r="AR58" i="31"/>
  <c r="AV58" i="31"/>
  <c r="AZ58" i="31"/>
  <c r="BD58" i="31"/>
  <c r="J58" i="31"/>
  <c r="N58" i="31"/>
  <c r="R58" i="31"/>
  <c r="V58" i="31"/>
  <c r="Z58" i="31"/>
  <c r="AD58" i="31"/>
  <c r="AH58" i="31"/>
  <c r="AL58" i="31"/>
  <c r="AP58" i="31"/>
  <c r="AT58" i="31"/>
  <c r="AX58" i="31"/>
  <c r="BB58" i="31"/>
  <c r="BC70" i="31"/>
  <c r="AY70" i="31"/>
  <c r="AU70" i="31"/>
  <c r="AQ70" i="31"/>
  <c r="AM70" i="31"/>
  <c r="AI70" i="31"/>
  <c r="AE70" i="31"/>
  <c r="AA70" i="31"/>
  <c r="W70" i="31"/>
  <c r="S70" i="31"/>
  <c r="O70" i="31"/>
  <c r="K70" i="31"/>
  <c r="AY64" i="31"/>
  <c r="AT64" i="31"/>
  <c r="AO64" i="31"/>
  <c r="AI64" i="31"/>
  <c r="AA64" i="31"/>
  <c r="S64" i="31"/>
  <c r="K64" i="31"/>
  <c r="BA58" i="31"/>
  <c r="AS58" i="31"/>
  <c r="AK58" i="31"/>
  <c r="AC58" i="31"/>
  <c r="U58" i="31"/>
  <c r="M58" i="31"/>
  <c r="BB57" i="31"/>
  <c r="AT57" i="31"/>
  <c r="AL57" i="31"/>
  <c r="AD57" i="31"/>
  <c r="V57" i="31"/>
  <c r="N57" i="31"/>
  <c r="J55" i="31"/>
  <c r="N55" i="31"/>
  <c r="R55" i="31"/>
  <c r="V55" i="31"/>
  <c r="Z55" i="31"/>
  <c r="AD55" i="31"/>
  <c r="AH55" i="31"/>
  <c r="AL55" i="31"/>
  <c r="AP55" i="31"/>
  <c r="AT55" i="31"/>
  <c r="AX55" i="31"/>
  <c r="BB55" i="31"/>
  <c r="K55" i="31"/>
  <c r="O55" i="31"/>
  <c r="S55" i="31"/>
  <c r="W55" i="31"/>
  <c r="AA55" i="31"/>
  <c r="AE55" i="31"/>
  <c r="AI55" i="31"/>
  <c r="AM55" i="31"/>
  <c r="AQ55" i="31"/>
  <c r="AU55" i="31"/>
  <c r="AY55" i="31"/>
  <c r="BC55" i="31"/>
  <c r="H55" i="31"/>
  <c r="L55" i="31"/>
  <c r="P55" i="31"/>
  <c r="T55" i="31"/>
  <c r="X55" i="31"/>
  <c r="AB55" i="31"/>
  <c r="AF55" i="31"/>
  <c r="AJ55" i="31"/>
  <c r="AN55" i="31"/>
  <c r="AR55" i="31"/>
  <c r="AV55" i="31"/>
  <c r="AZ55" i="31"/>
  <c r="BD55" i="31"/>
  <c r="I55" i="31"/>
  <c r="M55" i="31"/>
  <c r="Q55" i="31"/>
  <c r="U55" i="31"/>
  <c r="Y55" i="31"/>
  <c r="AC55" i="31"/>
  <c r="AG55" i="31"/>
  <c r="AK55" i="31"/>
  <c r="AO55" i="31"/>
  <c r="AS55" i="31"/>
  <c r="AW55" i="31"/>
  <c r="BA55" i="31"/>
  <c r="H53" i="31"/>
  <c r="L53" i="31"/>
  <c r="P53" i="31"/>
  <c r="T53" i="31"/>
  <c r="X53" i="31"/>
  <c r="AB53" i="31"/>
  <c r="AF53" i="31"/>
  <c r="AJ53" i="31"/>
  <c r="AN53" i="31"/>
  <c r="AR53" i="31"/>
  <c r="AV53" i="31"/>
  <c r="AZ53" i="31"/>
  <c r="BD53" i="31"/>
  <c r="I53" i="31"/>
  <c r="M53" i="31"/>
  <c r="Q53" i="31"/>
  <c r="U53" i="31"/>
  <c r="Y53" i="31"/>
  <c r="AC53" i="31"/>
  <c r="AG53" i="31"/>
  <c r="AK53" i="31"/>
  <c r="AO53" i="31"/>
  <c r="AS53" i="31"/>
  <c r="AW53" i="31"/>
  <c r="BA53" i="31"/>
  <c r="J53" i="31"/>
  <c r="N53" i="31"/>
  <c r="R53" i="31"/>
  <c r="V53" i="31"/>
  <c r="Z53" i="31"/>
  <c r="AD53" i="31"/>
  <c r="AH53" i="31"/>
  <c r="AL53" i="31"/>
  <c r="AP53" i="31"/>
  <c r="AT53" i="31"/>
  <c r="AX53" i="31"/>
  <c r="BB53" i="31"/>
  <c r="K53" i="31"/>
  <c r="O53" i="31"/>
  <c r="S53" i="31"/>
  <c r="W53" i="31"/>
  <c r="AA53" i="31"/>
  <c r="AE53" i="31"/>
  <c r="AI53" i="31"/>
  <c r="AM53" i="31"/>
  <c r="AQ53" i="31"/>
  <c r="AU53" i="31"/>
  <c r="AY53" i="31"/>
  <c r="BC53" i="31"/>
  <c r="BB70" i="31"/>
  <c r="AX70" i="31"/>
  <c r="AT70" i="31"/>
  <c r="AP70" i="31"/>
  <c r="AL70" i="31"/>
  <c r="AH70" i="31"/>
  <c r="AD70" i="31"/>
  <c r="Z70" i="31"/>
  <c r="V70" i="31"/>
  <c r="R70" i="31"/>
  <c r="N70" i="31"/>
  <c r="BC64" i="31"/>
  <c r="AX64" i="31"/>
  <c r="AS64" i="31"/>
  <c r="AM64" i="31"/>
  <c r="AG64" i="31"/>
  <c r="Y64" i="31"/>
  <c r="Q64" i="31"/>
  <c r="I64" i="31"/>
  <c r="AY58" i="31"/>
  <c r="AQ58" i="31"/>
  <c r="AI58" i="31"/>
  <c r="AA58" i="31"/>
  <c r="S58" i="31"/>
  <c r="K58" i="31"/>
  <c r="AZ57" i="31"/>
  <c r="AR57" i="31"/>
  <c r="AJ57" i="31"/>
  <c r="AB57" i="31"/>
  <c r="T57" i="31"/>
  <c r="L57" i="31"/>
  <c r="BE62" i="31"/>
  <c r="BE51" i="31"/>
  <c r="BE72" i="31"/>
  <c r="W16" i="2" s="1"/>
  <c r="BE66" i="31"/>
  <c r="BE65" i="31"/>
  <c r="BE67" i="31"/>
  <c r="W10" i="2" s="1"/>
  <c r="AM41" i="37" l="1"/>
  <c r="BE64" i="31"/>
  <c r="BE53" i="31"/>
  <c r="BE70" i="31"/>
  <c r="W13" i="2" s="1"/>
  <c r="BE55" i="31"/>
  <c r="BE54" i="31"/>
  <c r="BE57" i="31"/>
  <c r="H29" i="31"/>
  <c r="I29" i="31"/>
  <c r="J29" i="31"/>
  <c r="G30" i="31"/>
  <c r="H30" i="31"/>
  <c r="I30" i="31"/>
  <c r="J30" i="31"/>
  <c r="G34" i="31"/>
  <c r="H34" i="31"/>
  <c r="I34" i="31"/>
  <c r="J34" i="31"/>
  <c r="G36" i="31"/>
  <c r="H36" i="31"/>
  <c r="I36" i="31"/>
  <c r="J36" i="31"/>
  <c r="G37" i="31"/>
  <c r="H37" i="31"/>
  <c r="I37" i="31"/>
  <c r="J37" i="31"/>
  <c r="G38" i="31"/>
  <c r="H38" i="31"/>
  <c r="I38" i="31"/>
  <c r="J38" i="31"/>
  <c r="G39" i="31"/>
  <c r="H39" i="31"/>
  <c r="I39" i="31"/>
  <c r="J39" i="31"/>
  <c r="G41" i="31"/>
  <c r="H41" i="31"/>
  <c r="I41" i="31"/>
  <c r="J41" i="31"/>
  <c r="G42" i="31"/>
  <c r="H42" i="31"/>
  <c r="I42" i="31"/>
  <c r="J42" i="31"/>
  <c r="G43" i="31"/>
  <c r="H43" i="31"/>
  <c r="I43" i="31"/>
  <c r="J43" i="31"/>
  <c r="G44" i="31"/>
  <c r="H44" i="31"/>
  <c r="I44" i="31"/>
  <c r="J44" i="31"/>
  <c r="G45" i="31"/>
  <c r="H45" i="31"/>
  <c r="I45" i="31"/>
  <c r="J45" i="31"/>
  <c r="G47" i="31"/>
  <c r="H47" i="31"/>
  <c r="I47" i="31"/>
  <c r="J47" i="31"/>
  <c r="G48" i="31"/>
  <c r="H48" i="31"/>
  <c r="I48" i="31"/>
  <c r="J48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AE29" i="31"/>
  <c r="AF29" i="31"/>
  <c r="AG29" i="31"/>
  <c r="AH29" i="31"/>
  <c r="AI29" i="31"/>
  <c r="AJ29" i="31"/>
  <c r="AK29" i="31"/>
  <c r="AL29" i="31"/>
  <c r="AM29" i="31"/>
  <c r="AN29" i="31"/>
  <c r="AO29" i="31"/>
  <c r="AP29" i="31"/>
  <c r="AQ29" i="31"/>
  <c r="AR29" i="31"/>
  <c r="AS29" i="31"/>
  <c r="AT29" i="31"/>
  <c r="AU29" i="31"/>
  <c r="AV29" i="31"/>
  <c r="AW29" i="31"/>
  <c r="AX29" i="31"/>
  <c r="AY29" i="31"/>
  <c r="AZ29" i="31"/>
  <c r="BA29" i="31"/>
  <c r="BB29" i="31"/>
  <c r="BC29" i="31"/>
  <c r="BD29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AF30" i="31"/>
  <c r="AG30" i="31"/>
  <c r="AH30" i="31"/>
  <c r="AI30" i="31"/>
  <c r="AJ30" i="31"/>
  <c r="AK30" i="31"/>
  <c r="AL30" i="31"/>
  <c r="AM30" i="31"/>
  <c r="AN30" i="31"/>
  <c r="AO30" i="31"/>
  <c r="AP30" i="31"/>
  <c r="AQ30" i="31"/>
  <c r="AR30" i="31"/>
  <c r="AS30" i="31"/>
  <c r="AT30" i="31"/>
  <c r="AU30" i="31"/>
  <c r="AV30" i="31"/>
  <c r="AW30" i="31"/>
  <c r="AX30" i="31"/>
  <c r="AY30" i="31"/>
  <c r="AZ30" i="31"/>
  <c r="BA30" i="31"/>
  <c r="BB30" i="31"/>
  <c r="BC30" i="31"/>
  <c r="BD30" i="31"/>
  <c r="K34" i="31"/>
  <c r="L34" i="31"/>
  <c r="M34" i="31"/>
  <c r="N34" i="31"/>
  <c r="O34" i="31"/>
  <c r="P34" i="31"/>
  <c r="Q34" i="31"/>
  <c r="R34" i="31"/>
  <c r="S34" i="31"/>
  <c r="T34" i="31"/>
  <c r="U34" i="31"/>
  <c r="V34" i="31"/>
  <c r="W34" i="31"/>
  <c r="X34" i="31"/>
  <c r="Y34" i="31"/>
  <c r="Z34" i="31"/>
  <c r="AA34" i="31"/>
  <c r="AB34" i="31"/>
  <c r="AC34" i="31"/>
  <c r="AD34" i="31"/>
  <c r="AE34" i="31"/>
  <c r="AF34" i="31"/>
  <c r="AG34" i="31"/>
  <c r="AH34" i="31"/>
  <c r="AI34" i="31"/>
  <c r="AJ34" i="31"/>
  <c r="AK34" i="31"/>
  <c r="AL34" i="31"/>
  <c r="AM34" i="31"/>
  <c r="AN34" i="31"/>
  <c r="AO34" i="31"/>
  <c r="AP34" i="31"/>
  <c r="AQ34" i="31"/>
  <c r="AR34" i="31"/>
  <c r="AS34" i="31"/>
  <c r="AT34" i="31"/>
  <c r="AU34" i="31"/>
  <c r="AV34" i="31"/>
  <c r="AW34" i="31"/>
  <c r="AX34" i="31"/>
  <c r="AY34" i="31"/>
  <c r="AZ34" i="31"/>
  <c r="BA34" i="31"/>
  <c r="BB34" i="31"/>
  <c r="BC34" i="31"/>
  <c r="BD34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AG36" i="31"/>
  <c r="AH36" i="31"/>
  <c r="AI36" i="31"/>
  <c r="AJ36" i="31"/>
  <c r="AK36" i="31"/>
  <c r="AL36" i="31"/>
  <c r="AM36" i="31"/>
  <c r="AN36" i="31"/>
  <c r="AO36" i="31"/>
  <c r="AP36" i="31"/>
  <c r="AQ36" i="31"/>
  <c r="AR36" i="31"/>
  <c r="AS36" i="31"/>
  <c r="AT36" i="31"/>
  <c r="AU36" i="31"/>
  <c r="AV36" i="31"/>
  <c r="AW36" i="31"/>
  <c r="AX36" i="31"/>
  <c r="AY36" i="31"/>
  <c r="AZ36" i="31"/>
  <c r="BA36" i="31"/>
  <c r="BB36" i="31"/>
  <c r="BC36" i="31"/>
  <c r="BD36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E37" i="31"/>
  <c r="AF37" i="31"/>
  <c r="AG37" i="31"/>
  <c r="AH37" i="31"/>
  <c r="AI37" i="31"/>
  <c r="AJ37" i="31"/>
  <c r="AK37" i="31"/>
  <c r="AL37" i="31"/>
  <c r="AM37" i="31"/>
  <c r="AN37" i="31"/>
  <c r="AO37" i="31"/>
  <c r="AP37" i="31"/>
  <c r="AQ37" i="31"/>
  <c r="AR37" i="31"/>
  <c r="AS37" i="31"/>
  <c r="AT37" i="31"/>
  <c r="AU37" i="31"/>
  <c r="AV37" i="31"/>
  <c r="AW37" i="31"/>
  <c r="AX37" i="31"/>
  <c r="AY37" i="31"/>
  <c r="AZ37" i="31"/>
  <c r="BA37" i="31"/>
  <c r="BB37" i="31"/>
  <c r="BC37" i="31"/>
  <c r="BD37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I38" i="31"/>
  <c r="AJ38" i="31"/>
  <c r="AK38" i="31"/>
  <c r="AL38" i="31"/>
  <c r="AM38" i="31"/>
  <c r="AN38" i="31"/>
  <c r="AO38" i="31"/>
  <c r="AP38" i="31"/>
  <c r="AQ38" i="31"/>
  <c r="AR38" i="31"/>
  <c r="AS38" i="31"/>
  <c r="AT38" i="31"/>
  <c r="AU38" i="31"/>
  <c r="AV38" i="31"/>
  <c r="AW38" i="31"/>
  <c r="AX38" i="31"/>
  <c r="AY38" i="31"/>
  <c r="AZ38" i="31"/>
  <c r="BA38" i="31"/>
  <c r="BB38" i="31"/>
  <c r="BC38" i="31"/>
  <c r="BD38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AT39" i="31"/>
  <c r="AU39" i="31"/>
  <c r="AV39" i="31"/>
  <c r="AW39" i="31"/>
  <c r="AX39" i="31"/>
  <c r="AY39" i="31"/>
  <c r="AZ39" i="31"/>
  <c r="BA39" i="31"/>
  <c r="BB39" i="31"/>
  <c r="BC39" i="31"/>
  <c r="BD39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AE41" i="31"/>
  <c r="AF41" i="31"/>
  <c r="AG41" i="31"/>
  <c r="AH41" i="31"/>
  <c r="AI41" i="31"/>
  <c r="AJ41" i="31"/>
  <c r="AK41" i="31"/>
  <c r="AL41" i="31"/>
  <c r="AM41" i="31"/>
  <c r="AN41" i="31"/>
  <c r="AO41" i="31"/>
  <c r="AP41" i="31"/>
  <c r="AQ41" i="31"/>
  <c r="AR41" i="31"/>
  <c r="AS41" i="31"/>
  <c r="AT41" i="31"/>
  <c r="AU41" i="31"/>
  <c r="AV41" i="31"/>
  <c r="AW41" i="31"/>
  <c r="AX41" i="31"/>
  <c r="AY41" i="31"/>
  <c r="AZ41" i="31"/>
  <c r="BA41" i="31"/>
  <c r="BB41" i="31"/>
  <c r="BC41" i="31"/>
  <c r="BD41" i="31"/>
  <c r="K42" i="31"/>
  <c r="L42" i="31"/>
  <c r="M42" i="31"/>
  <c r="N42" i="31"/>
  <c r="O42" i="31"/>
  <c r="P42" i="31"/>
  <c r="Q42" i="31"/>
  <c r="R42" i="31"/>
  <c r="S42" i="31"/>
  <c r="T42" i="31"/>
  <c r="U42" i="31"/>
  <c r="V42" i="31"/>
  <c r="W42" i="31"/>
  <c r="X42" i="31"/>
  <c r="Y42" i="31"/>
  <c r="Z42" i="31"/>
  <c r="AA42" i="31"/>
  <c r="AB42" i="31"/>
  <c r="AC42" i="31"/>
  <c r="AD42" i="31"/>
  <c r="AE42" i="31"/>
  <c r="AF42" i="31"/>
  <c r="AG42" i="31"/>
  <c r="AH42" i="31"/>
  <c r="AI42" i="31"/>
  <c r="AJ42" i="31"/>
  <c r="AK42" i="31"/>
  <c r="AL42" i="31"/>
  <c r="AM42" i="31"/>
  <c r="AN42" i="31"/>
  <c r="AO42" i="31"/>
  <c r="AP42" i="31"/>
  <c r="AQ42" i="31"/>
  <c r="AR42" i="31"/>
  <c r="AS42" i="31"/>
  <c r="AT42" i="31"/>
  <c r="AU42" i="31"/>
  <c r="AV42" i="31"/>
  <c r="AW42" i="31"/>
  <c r="AX42" i="31"/>
  <c r="AY42" i="31"/>
  <c r="AZ42" i="31"/>
  <c r="BA42" i="31"/>
  <c r="BB42" i="31"/>
  <c r="BC42" i="31"/>
  <c r="BD42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AE43" i="31"/>
  <c r="AF43" i="31"/>
  <c r="AG43" i="31"/>
  <c r="AH43" i="31"/>
  <c r="AI43" i="31"/>
  <c r="AJ43" i="31"/>
  <c r="AK43" i="31"/>
  <c r="AL43" i="31"/>
  <c r="AM43" i="31"/>
  <c r="AN43" i="31"/>
  <c r="AO43" i="31"/>
  <c r="AP43" i="31"/>
  <c r="AQ43" i="31"/>
  <c r="AR43" i="31"/>
  <c r="AS43" i="31"/>
  <c r="AT43" i="31"/>
  <c r="AU43" i="31"/>
  <c r="AV43" i="31"/>
  <c r="AW43" i="31"/>
  <c r="AX43" i="31"/>
  <c r="AY43" i="31"/>
  <c r="AZ43" i="31"/>
  <c r="BA43" i="31"/>
  <c r="BB43" i="31"/>
  <c r="BC43" i="31"/>
  <c r="BD43" i="31"/>
  <c r="K44" i="31"/>
  <c r="L44" i="31"/>
  <c r="M44" i="31"/>
  <c r="N44" i="31"/>
  <c r="O44" i="31"/>
  <c r="P44" i="31"/>
  <c r="Q44" i="31"/>
  <c r="R44" i="31"/>
  <c r="S44" i="31"/>
  <c r="T44" i="31"/>
  <c r="U44" i="31"/>
  <c r="V44" i="31"/>
  <c r="W44" i="31"/>
  <c r="X44" i="31"/>
  <c r="Y44" i="31"/>
  <c r="Z44" i="31"/>
  <c r="AA44" i="31"/>
  <c r="AB44" i="31"/>
  <c r="AC44" i="31"/>
  <c r="AD44" i="31"/>
  <c r="AE44" i="31"/>
  <c r="AF44" i="31"/>
  <c r="AG44" i="31"/>
  <c r="AH44" i="31"/>
  <c r="AI44" i="31"/>
  <c r="AJ44" i="31"/>
  <c r="AK44" i="31"/>
  <c r="AL44" i="31"/>
  <c r="AM44" i="31"/>
  <c r="AN44" i="31"/>
  <c r="AO44" i="31"/>
  <c r="AP44" i="31"/>
  <c r="AQ44" i="31"/>
  <c r="AR44" i="31"/>
  <c r="AS44" i="31"/>
  <c r="AT44" i="31"/>
  <c r="AU44" i="31"/>
  <c r="AV44" i="31"/>
  <c r="AW44" i="31"/>
  <c r="AX44" i="31"/>
  <c r="AY44" i="31"/>
  <c r="AZ44" i="31"/>
  <c r="BA44" i="31"/>
  <c r="BB44" i="31"/>
  <c r="BC44" i="31"/>
  <c r="BD44" i="31"/>
  <c r="K45" i="31"/>
  <c r="L45" i="31"/>
  <c r="M45" i="31"/>
  <c r="N45" i="31"/>
  <c r="O45" i="31"/>
  <c r="P45" i="31"/>
  <c r="Q45" i="31"/>
  <c r="R45" i="31"/>
  <c r="S45" i="31"/>
  <c r="T45" i="31"/>
  <c r="U45" i="31"/>
  <c r="V45" i="31"/>
  <c r="W45" i="31"/>
  <c r="X45" i="31"/>
  <c r="Y45" i="31"/>
  <c r="Z45" i="31"/>
  <c r="AA45" i="31"/>
  <c r="AB45" i="31"/>
  <c r="AC45" i="31"/>
  <c r="AD45" i="31"/>
  <c r="AE45" i="31"/>
  <c r="AF45" i="31"/>
  <c r="AG45" i="31"/>
  <c r="AH45" i="31"/>
  <c r="AI45" i="31"/>
  <c r="AJ45" i="31"/>
  <c r="AK45" i="31"/>
  <c r="AL45" i="31"/>
  <c r="AM45" i="31"/>
  <c r="AN45" i="31"/>
  <c r="AO45" i="31"/>
  <c r="AP45" i="31"/>
  <c r="AQ45" i="31"/>
  <c r="AR45" i="31"/>
  <c r="AS45" i="31"/>
  <c r="AT45" i="31"/>
  <c r="AU45" i="31"/>
  <c r="AV45" i="31"/>
  <c r="AW45" i="31"/>
  <c r="AX45" i="31"/>
  <c r="AY45" i="31"/>
  <c r="AZ45" i="31"/>
  <c r="BA45" i="31"/>
  <c r="BB45" i="31"/>
  <c r="BC45" i="31"/>
  <c r="BD45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AE47" i="31"/>
  <c r="AF47" i="31"/>
  <c r="AG47" i="31"/>
  <c r="AH47" i="31"/>
  <c r="AI47" i="31"/>
  <c r="AJ47" i="31"/>
  <c r="AK47" i="31"/>
  <c r="AL47" i="31"/>
  <c r="AM47" i="31"/>
  <c r="AN47" i="31"/>
  <c r="AO47" i="31"/>
  <c r="AP47" i="31"/>
  <c r="AQ47" i="31"/>
  <c r="AR47" i="31"/>
  <c r="AS47" i="31"/>
  <c r="AT47" i="31"/>
  <c r="AU47" i="31"/>
  <c r="AV47" i="31"/>
  <c r="AW47" i="31"/>
  <c r="AX47" i="31"/>
  <c r="AY47" i="31"/>
  <c r="AZ47" i="31"/>
  <c r="BA47" i="31"/>
  <c r="BB47" i="31"/>
  <c r="BC47" i="31"/>
  <c r="BD47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AE48" i="31"/>
  <c r="AF48" i="31"/>
  <c r="AG48" i="31"/>
  <c r="AH48" i="31"/>
  <c r="AI48" i="31"/>
  <c r="AJ48" i="31"/>
  <c r="AK48" i="31"/>
  <c r="AL48" i="31"/>
  <c r="AM48" i="31"/>
  <c r="AN48" i="31"/>
  <c r="AO48" i="31"/>
  <c r="AP48" i="31"/>
  <c r="AQ48" i="31"/>
  <c r="AR48" i="31"/>
  <c r="AS48" i="31"/>
  <c r="AT48" i="31"/>
  <c r="AU48" i="31"/>
  <c r="AV48" i="31"/>
  <c r="AW48" i="31"/>
  <c r="AX48" i="31"/>
  <c r="AY48" i="31"/>
  <c r="AZ48" i="31"/>
  <c r="BA48" i="31"/>
  <c r="BB48" i="31"/>
  <c r="BC48" i="31"/>
  <c r="BD48" i="31"/>
  <c r="G26" i="31"/>
  <c r="G25" i="31"/>
  <c r="G20" i="31"/>
  <c r="F46" i="31"/>
  <c r="J46" i="31" s="1"/>
  <c r="F40" i="31"/>
  <c r="J40" i="31" s="1"/>
  <c r="F35" i="31"/>
  <c r="J35" i="31" s="1"/>
  <c r="F33" i="31"/>
  <c r="J33" i="31" s="1"/>
  <c r="F32" i="31"/>
  <c r="J32" i="31" s="1"/>
  <c r="F31" i="31"/>
  <c r="J31" i="31" s="1"/>
  <c r="AZ46" i="31" l="1"/>
  <c r="AR46" i="31"/>
  <c r="AJ46" i="31"/>
  <c r="AB46" i="31"/>
  <c r="T46" i="31"/>
  <c r="BC46" i="31"/>
  <c r="AY46" i="31"/>
  <c r="AU46" i="31"/>
  <c r="AQ46" i="31"/>
  <c r="AM46" i="31"/>
  <c r="AI46" i="31"/>
  <c r="AE46" i="31"/>
  <c r="AA46" i="31"/>
  <c r="W46" i="31"/>
  <c r="S46" i="31"/>
  <c r="O46" i="31"/>
  <c r="K46" i="31"/>
  <c r="BC40" i="31"/>
  <c r="AY40" i="31"/>
  <c r="AU40" i="31"/>
  <c r="AQ40" i="31"/>
  <c r="AM40" i="31"/>
  <c r="AI40" i="31"/>
  <c r="AE40" i="31"/>
  <c r="AA40" i="31"/>
  <c r="W40" i="31"/>
  <c r="S40" i="31"/>
  <c r="O40" i="31"/>
  <c r="K40" i="31"/>
  <c r="BA35" i="31"/>
  <c r="AW35" i="31"/>
  <c r="AS35" i="31"/>
  <c r="AO35" i="31"/>
  <c r="AK35" i="31"/>
  <c r="AG35" i="31"/>
  <c r="AC35" i="31"/>
  <c r="Y35" i="31"/>
  <c r="U35" i="31"/>
  <c r="Q35" i="31"/>
  <c r="M35" i="31"/>
  <c r="BA33" i="31"/>
  <c r="AW33" i="31"/>
  <c r="AS33" i="31"/>
  <c r="AO33" i="31"/>
  <c r="AK33" i="31"/>
  <c r="AG33" i="31"/>
  <c r="AC33" i="31"/>
  <c r="Y33" i="31"/>
  <c r="U33" i="31"/>
  <c r="Q33" i="31"/>
  <c r="M33" i="31"/>
  <c r="BC32" i="31"/>
  <c r="AY32" i="31"/>
  <c r="AU32" i="31"/>
  <c r="AQ32" i="31"/>
  <c r="AM32" i="31"/>
  <c r="AI32" i="31"/>
  <c r="AE32" i="31"/>
  <c r="AA32" i="31"/>
  <c r="W32" i="31"/>
  <c r="S32" i="31"/>
  <c r="O32" i="31"/>
  <c r="K32" i="31"/>
  <c r="BA31" i="31"/>
  <c r="AW31" i="31"/>
  <c r="AS31" i="31"/>
  <c r="AO31" i="31"/>
  <c r="AK31" i="31"/>
  <c r="AG31" i="31"/>
  <c r="AC31" i="31"/>
  <c r="Y31" i="31"/>
  <c r="U31" i="31"/>
  <c r="Q31" i="31"/>
  <c r="M31" i="31"/>
  <c r="I46" i="31"/>
  <c r="I40" i="31"/>
  <c r="I35" i="31"/>
  <c r="I33" i="31"/>
  <c r="I32" i="31"/>
  <c r="I31" i="31"/>
  <c r="BB46" i="31"/>
  <c r="AX46" i="31"/>
  <c r="AT46" i="31"/>
  <c r="AP46" i="31"/>
  <c r="AL46" i="31"/>
  <c r="AH46" i="31"/>
  <c r="AD46" i="31"/>
  <c r="Z46" i="31"/>
  <c r="V46" i="31"/>
  <c r="R46" i="31"/>
  <c r="N46" i="31"/>
  <c r="BB40" i="31"/>
  <c r="AX40" i="31"/>
  <c r="AT40" i="31"/>
  <c r="AP40" i="31"/>
  <c r="AL40" i="31"/>
  <c r="AH40" i="31"/>
  <c r="AD40" i="31"/>
  <c r="Z40" i="31"/>
  <c r="V40" i="31"/>
  <c r="R40" i="31"/>
  <c r="N40" i="31"/>
  <c r="BD35" i="31"/>
  <c r="AZ35" i="31"/>
  <c r="AV35" i="31"/>
  <c r="AR35" i="31"/>
  <c r="AN35" i="31"/>
  <c r="AJ35" i="31"/>
  <c r="AF35" i="31"/>
  <c r="AB35" i="31"/>
  <c r="X35" i="31"/>
  <c r="T35" i="31"/>
  <c r="P35" i="31"/>
  <c r="L35" i="31"/>
  <c r="BD33" i="31"/>
  <c r="AZ33" i="31"/>
  <c r="AV33" i="31"/>
  <c r="AR33" i="31"/>
  <c r="AN33" i="31"/>
  <c r="AJ33" i="31"/>
  <c r="AF33" i="31"/>
  <c r="AB33" i="31"/>
  <c r="X33" i="31"/>
  <c r="T33" i="31"/>
  <c r="P33" i="31"/>
  <c r="L33" i="31"/>
  <c r="BB32" i="31"/>
  <c r="AX32" i="31"/>
  <c r="AT32" i="31"/>
  <c r="AP32" i="31"/>
  <c r="AL32" i="31"/>
  <c r="AH32" i="31"/>
  <c r="AD32" i="31"/>
  <c r="Z32" i="31"/>
  <c r="V32" i="31"/>
  <c r="R32" i="31"/>
  <c r="N32" i="31"/>
  <c r="BD31" i="31"/>
  <c r="AZ31" i="31"/>
  <c r="AV31" i="31"/>
  <c r="AR31" i="31"/>
  <c r="AN31" i="31"/>
  <c r="AJ31" i="31"/>
  <c r="AF31" i="31"/>
  <c r="AB31" i="31"/>
  <c r="X31" i="31"/>
  <c r="T31" i="31"/>
  <c r="P31" i="31"/>
  <c r="L31" i="31"/>
  <c r="H46" i="31"/>
  <c r="H40" i="31"/>
  <c r="H35" i="31"/>
  <c r="H33" i="31"/>
  <c r="H32" i="31"/>
  <c r="H31" i="31"/>
  <c r="BA46" i="31"/>
  <c r="AW46" i="31"/>
  <c r="AS46" i="31"/>
  <c r="AO46" i="31"/>
  <c r="AK46" i="31"/>
  <c r="AG46" i="31"/>
  <c r="AC46" i="31"/>
  <c r="Y46" i="31"/>
  <c r="U46" i="31"/>
  <c r="Q46" i="31"/>
  <c r="M46" i="31"/>
  <c r="BA40" i="31"/>
  <c r="AW40" i="31"/>
  <c r="AS40" i="31"/>
  <c r="AO40" i="31"/>
  <c r="AK40" i="31"/>
  <c r="AG40" i="31"/>
  <c r="AC40" i="31"/>
  <c r="Y40" i="31"/>
  <c r="U40" i="31"/>
  <c r="Q40" i="31"/>
  <c r="M40" i="31"/>
  <c r="BC35" i="31"/>
  <c r="AY35" i="31"/>
  <c r="AU35" i="31"/>
  <c r="AQ35" i="31"/>
  <c r="AM35" i="31"/>
  <c r="AI35" i="31"/>
  <c r="AE35" i="31"/>
  <c r="AA35" i="31"/>
  <c r="W35" i="31"/>
  <c r="S35" i="31"/>
  <c r="O35" i="31"/>
  <c r="K35" i="31"/>
  <c r="BC33" i="31"/>
  <c r="AY33" i="31"/>
  <c r="AU33" i="31"/>
  <c r="AQ33" i="31"/>
  <c r="AM33" i="31"/>
  <c r="AI33" i="31"/>
  <c r="AE33" i="31"/>
  <c r="AA33" i="31"/>
  <c r="W33" i="31"/>
  <c r="S33" i="31"/>
  <c r="O33" i="31"/>
  <c r="K33" i="31"/>
  <c r="BA32" i="31"/>
  <c r="AW32" i="31"/>
  <c r="AS32" i="31"/>
  <c r="AO32" i="31"/>
  <c r="AK32" i="31"/>
  <c r="AG32" i="31"/>
  <c r="AC32" i="31"/>
  <c r="Y32" i="31"/>
  <c r="U32" i="31"/>
  <c r="Q32" i="31"/>
  <c r="M32" i="31"/>
  <c r="BC31" i="31"/>
  <c r="AY31" i="31"/>
  <c r="AU31" i="31"/>
  <c r="AQ31" i="31"/>
  <c r="AM31" i="31"/>
  <c r="AI31" i="31"/>
  <c r="AE31" i="31"/>
  <c r="AA31" i="31"/>
  <c r="W31" i="31"/>
  <c r="S31" i="31"/>
  <c r="O31" i="31"/>
  <c r="K31" i="31"/>
  <c r="G46" i="31"/>
  <c r="G40" i="31"/>
  <c r="G35" i="31"/>
  <c r="G33" i="31"/>
  <c r="G32" i="31"/>
  <c r="G31" i="31"/>
  <c r="BE30" i="31"/>
  <c r="BD46" i="31"/>
  <c r="AV46" i="31"/>
  <c r="AN46" i="31"/>
  <c r="AF46" i="31"/>
  <c r="X46" i="31"/>
  <c r="P46" i="31"/>
  <c r="L46" i="31"/>
  <c r="BD40" i="31"/>
  <c r="AZ40" i="31"/>
  <c r="AV40" i="31"/>
  <c r="AR40" i="31"/>
  <c r="AN40" i="31"/>
  <c r="AJ40" i="31"/>
  <c r="AF40" i="31"/>
  <c r="AB40" i="31"/>
  <c r="X40" i="31"/>
  <c r="T40" i="31"/>
  <c r="P40" i="31"/>
  <c r="L40" i="31"/>
  <c r="BB35" i="31"/>
  <c r="AX35" i="31"/>
  <c r="AT35" i="31"/>
  <c r="AP35" i="31"/>
  <c r="AL35" i="31"/>
  <c r="AH35" i="31"/>
  <c r="AD35" i="31"/>
  <c r="Z35" i="31"/>
  <c r="V35" i="31"/>
  <c r="R35" i="31"/>
  <c r="N35" i="31"/>
  <c r="BB33" i="31"/>
  <c r="AX33" i="31"/>
  <c r="AT33" i="31"/>
  <c r="AP33" i="31"/>
  <c r="AL33" i="31"/>
  <c r="AH33" i="31"/>
  <c r="AD33" i="31"/>
  <c r="Z33" i="31"/>
  <c r="V33" i="31"/>
  <c r="R33" i="31"/>
  <c r="N33" i="31"/>
  <c r="BD32" i="31"/>
  <c r="AZ32" i="31"/>
  <c r="AV32" i="31"/>
  <c r="AR32" i="31"/>
  <c r="AN32" i="31"/>
  <c r="AJ32" i="31"/>
  <c r="AF32" i="31"/>
  <c r="AB32" i="31"/>
  <c r="X32" i="31"/>
  <c r="T32" i="31"/>
  <c r="P32" i="31"/>
  <c r="L32" i="31"/>
  <c r="BB31" i="31"/>
  <c r="AX31" i="31"/>
  <c r="AT31" i="31"/>
  <c r="AP31" i="31"/>
  <c r="AL31" i="31"/>
  <c r="AH31" i="31"/>
  <c r="AD31" i="31"/>
  <c r="Z31" i="31"/>
  <c r="V31" i="31"/>
  <c r="R31" i="31"/>
  <c r="N31" i="31"/>
  <c r="BE48" i="31"/>
  <c r="V16" i="2" s="1"/>
  <c r="BE44" i="31"/>
  <c r="V11" i="2" s="1"/>
  <c r="BE36" i="31"/>
  <c r="BE34" i="31"/>
  <c r="BE42" i="31"/>
  <c r="BE47" i="31"/>
  <c r="V14" i="2" s="1"/>
  <c r="BE45" i="31"/>
  <c r="V6" i="2" s="1"/>
  <c r="BE43" i="31"/>
  <c r="V10" i="2" s="1"/>
  <c r="BE41" i="31"/>
  <c r="BE39" i="31"/>
  <c r="BE37" i="31"/>
  <c r="BE38" i="31"/>
  <c r="BE29" i="31"/>
  <c r="BG29" i="31"/>
  <c r="BG30" i="31"/>
  <c r="BG31" i="31"/>
  <c r="BG32" i="31"/>
  <c r="BG33" i="31"/>
  <c r="BG34" i="31"/>
  <c r="BG35" i="31"/>
  <c r="BG36" i="31"/>
  <c r="BG37" i="31"/>
  <c r="BG38" i="31"/>
  <c r="BG39" i="31"/>
  <c r="BG40" i="31"/>
  <c r="BG41" i="31"/>
  <c r="BG42" i="31"/>
  <c r="BG43" i="31"/>
  <c r="BG44" i="31"/>
  <c r="BG45" i="31"/>
  <c r="BG46" i="31"/>
  <c r="BG47" i="31"/>
  <c r="BG48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AL19" i="31"/>
  <c r="AM19" i="31"/>
  <c r="AN19" i="31"/>
  <c r="AO19" i="31"/>
  <c r="AP19" i="31"/>
  <c r="AQ19" i="31"/>
  <c r="AR19" i="31"/>
  <c r="AS19" i="31"/>
  <c r="AT19" i="31"/>
  <c r="AU19" i="31"/>
  <c r="AV19" i="31"/>
  <c r="AW19" i="31"/>
  <c r="AX19" i="31"/>
  <c r="AY19" i="31"/>
  <c r="AZ19" i="31"/>
  <c r="BA19" i="31"/>
  <c r="BB19" i="31"/>
  <c r="BC19" i="31"/>
  <c r="BD19" i="31"/>
  <c r="G19" i="31"/>
  <c r="H20" i="31"/>
  <c r="BG7" i="31"/>
  <c r="BG8" i="31"/>
  <c r="BG9" i="31"/>
  <c r="BG10" i="31"/>
  <c r="BG11" i="31"/>
  <c r="BG12" i="31"/>
  <c r="BG13" i="31"/>
  <c r="BG14" i="31"/>
  <c r="BG15" i="31"/>
  <c r="BG16" i="31"/>
  <c r="BG17" i="31"/>
  <c r="BG18" i="31"/>
  <c r="BG19" i="31"/>
  <c r="BG20" i="31"/>
  <c r="BG21" i="31"/>
  <c r="BG22" i="31"/>
  <c r="BG23" i="31"/>
  <c r="BG24" i="31"/>
  <c r="BG25" i="31"/>
  <c r="BG26" i="31"/>
  <c r="BE31" i="31" l="1"/>
  <c r="BE33" i="31"/>
  <c r="BE40" i="31"/>
  <c r="BE32" i="31"/>
  <c r="BE35" i="31"/>
  <c r="BE46" i="31"/>
  <c r="V13" i="2" s="1"/>
  <c r="BE19" i="31"/>
  <c r="BF19" i="31" s="1"/>
  <c r="BD8" i="31"/>
  <c r="BD12" i="31"/>
  <c r="BD14" i="31"/>
  <c r="BD15" i="31"/>
  <c r="BD16" i="31"/>
  <c r="BD17" i="31"/>
  <c r="BD20" i="31"/>
  <c r="BD21" i="31"/>
  <c r="BD22" i="31"/>
  <c r="BD23" i="31"/>
  <c r="BD25" i="31"/>
  <c r="BD26" i="31"/>
  <c r="H8" i="31"/>
  <c r="I8" i="31"/>
  <c r="J8" i="31"/>
  <c r="K8" i="31"/>
  <c r="L8" i="31"/>
  <c r="M8" i="31"/>
  <c r="N8" i="31"/>
  <c r="O8" i="31"/>
  <c r="P8" i="31"/>
  <c r="Q8" i="31"/>
  <c r="R8" i="31"/>
  <c r="S8" i="31"/>
  <c r="T8" i="31"/>
  <c r="U8" i="31"/>
  <c r="V8" i="31"/>
  <c r="W8" i="31"/>
  <c r="X8" i="31"/>
  <c r="Y8" i="31"/>
  <c r="Z8" i="31"/>
  <c r="AA8" i="31"/>
  <c r="AB8" i="31"/>
  <c r="AC8" i="31"/>
  <c r="AD8" i="31"/>
  <c r="AE8" i="31"/>
  <c r="AF8" i="31"/>
  <c r="AG8" i="31"/>
  <c r="AH8" i="31"/>
  <c r="AI8" i="31"/>
  <c r="AJ8" i="31"/>
  <c r="AK8" i="31"/>
  <c r="AL8" i="31"/>
  <c r="AM8" i="31"/>
  <c r="AN8" i="31"/>
  <c r="AO8" i="31"/>
  <c r="AP8" i="31"/>
  <c r="AQ8" i="31"/>
  <c r="AR8" i="31"/>
  <c r="AS8" i="31"/>
  <c r="AT8" i="31"/>
  <c r="AU8" i="31"/>
  <c r="AV8" i="31"/>
  <c r="AW8" i="31"/>
  <c r="AX8" i="31"/>
  <c r="AY8" i="31"/>
  <c r="AZ8" i="31"/>
  <c r="BA8" i="31"/>
  <c r="BB8" i="31"/>
  <c r="BC8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U12" i="31"/>
  <c r="V12" i="31"/>
  <c r="W12" i="31"/>
  <c r="X12" i="31"/>
  <c r="Y12" i="31"/>
  <c r="Z12" i="31"/>
  <c r="AA12" i="31"/>
  <c r="AB12" i="31"/>
  <c r="AC12" i="31"/>
  <c r="AD12" i="31"/>
  <c r="AE12" i="31"/>
  <c r="AF12" i="31"/>
  <c r="AG12" i="31"/>
  <c r="AH12" i="31"/>
  <c r="AI12" i="31"/>
  <c r="AJ12" i="31"/>
  <c r="AK12" i="31"/>
  <c r="AL12" i="31"/>
  <c r="AM12" i="31"/>
  <c r="AN12" i="31"/>
  <c r="AO12" i="31"/>
  <c r="AP12" i="31"/>
  <c r="AQ12" i="31"/>
  <c r="AR12" i="31"/>
  <c r="AS12" i="31"/>
  <c r="AT12" i="31"/>
  <c r="AU12" i="31"/>
  <c r="AV12" i="31"/>
  <c r="AW12" i="31"/>
  <c r="AX12" i="31"/>
  <c r="AY12" i="31"/>
  <c r="AZ12" i="31"/>
  <c r="BA12" i="31"/>
  <c r="BB12" i="31"/>
  <c r="BC12" i="31"/>
  <c r="H14" i="31"/>
  <c r="I14" i="31"/>
  <c r="J14" i="31"/>
  <c r="K14" i="3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Z14" i="31"/>
  <c r="AA14" i="31"/>
  <c r="AB14" i="31"/>
  <c r="AC14" i="31"/>
  <c r="AD14" i="31"/>
  <c r="AE14" i="31"/>
  <c r="AF14" i="31"/>
  <c r="AG14" i="31"/>
  <c r="AH14" i="31"/>
  <c r="AI14" i="31"/>
  <c r="AJ14" i="31"/>
  <c r="AK14" i="31"/>
  <c r="AL14" i="31"/>
  <c r="AM14" i="31"/>
  <c r="AN14" i="31"/>
  <c r="AO14" i="31"/>
  <c r="AP14" i="31"/>
  <c r="AQ14" i="31"/>
  <c r="AR14" i="31"/>
  <c r="AS14" i="31"/>
  <c r="AT14" i="31"/>
  <c r="AU14" i="31"/>
  <c r="AV14" i="31"/>
  <c r="AW14" i="31"/>
  <c r="AX14" i="31"/>
  <c r="AY14" i="31"/>
  <c r="AZ14" i="31"/>
  <c r="BA14" i="31"/>
  <c r="BB14" i="31"/>
  <c r="BC14" i="31"/>
  <c r="H15" i="31"/>
  <c r="I15" i="31"/>
  <c r="J15" i="31"/>
  <c r="K15" i="31"/>
  <c r="L15" i="31"/>
  <c r="M15" i="31"/>
  <c r="N15" i="31"/>
  <c r="O15" i="31"/>
  <c r="P15" i="31"/>
  <c r="Q15" i="31"/>
  <c r="R15" i="31"/>
  <c r="S15" i="31"/>
  <c r="T15" i="31"/>
  <c r="U15" i="31"/>
  <c r="V15" i="31"/>
  <c r="W15" i="31"/>
  <c r="X15" i="31"/>
  <c r="Y15" i="31"/>
  <c r="Z15" i="31"/>
  <c r="AA15" i="31"/>
  <c r="AB15" i="31"/>
  <c r="AC15" i="31"/>
  <c r="AD15" i="31"/>
  <c r="AE15" i="31"/>
  <c r="AF15" i="31"/>
  <c r="AG15" i="31"/>
  <c r="AH15" i="31"/>
  <c r="AI15" i="31"/>
  <c r="AJ15" i="31"/>
  <c r="AK15" i="31"/>
  <c r="AL15" i="31"/>
  <c r="AM15" i="31"/>
  <c r="AN15" i="31"/>
  <c r="AO15" i="31"/>
  <c r="AP15" i="31"/>
  <c r="AQ15" i="31"/>
  <c r="AR15" i="31"/>
  <c r="AS15" i="31"/>
  <c r="AT15" i="31"/>
  <c r="AU15" i="31"/>
  <c r="AV15" i="31"/>
  <c r="AW15" i="31"/>
  <c r="AX15" i="31"/>
  <c r="AY15" i="31"/>
  <c r="AZ15" i="31"/>
  <c r="BA15" i="31"/>
  <c r="BB15" i="31"/>
  <c r="BC15" i="31"/>
  <c r="H16" i="31"/>
  <c r="I16" i="31"/>
  <c r="J16" i="31"/>
  <c r="K16" i="31"/>
  <c r="L16" i="31"/>
  <c r="M16" i="31"/>
  <c r="N16" i="31"/>
  <c r="O16" i="31"/>
  <c r="P16" i="31"/>
  <c r="Q16" i="31"/>
  <c r="R16" i="31"/>
  <c r="S16" i="31"/>
  <c r="T16" i="31"/>
  <c r="U16" i="31"/>
  <c r="V16" i="31"/>
  <c r="W16" i="31"/>
  <c r="X16" i="31"/>
  <c r="Y16" i="31"/>
  <c r="Z16" i="31"/>
  <c r="AA16" i="31"/>
  <c r="AB16" i="31"/>
  <c r="AC16" i="31"/>
  <c r="AD16" i="31"/>
  <c r="AE16" i="31"/>
  <c r="AF16" i="31"/>
  <c r="AG16" i="31"/>
  <c r="AH16" i="31"/>
  <c r="AI16" i="31"/>
  <c r="AJ16" i="31"/>
  <c r="AK16" i="31"/>
  <c r="AL16" i="31"/>
  <c r="AM16" i="31"/>
  <c r="AN16" i="31"/>
  <c r="AO16" i="31"/>
  <c r="AP16" i="31"/>
  <c r="AQ16" i="31"/>
  <c r="AR16" i="31"/>
  <c r="AS16" i="31"/>
  <c r="AT16" i="31"/>
  <c r="AU16" i="31"/>
  <c r="AV16" i="31"/>
  <c r="AW16" i="31"/>
  <c r="AX16" i="31"/>
  <c r="AY16" i="31"/>
  <c r="AZ16" i="31"/>
  <c r="BA16" i="31"/>
  <c r="BB16" i="31"/>
  <c r="BC16" i="31"/>
  <c r="H17" i="31"/>
  <c r="I17" i="31"/>
  <c r="J17" i="31"/>
  <c r="K17" i="31"/>
  <c r="L17" i="31"/>
  <c r="M17" i="31"/>
  <c r="N17" i="31"/>
  <c r="O17" i="31"/>
  <c r="P17" i="31"/>
  <c r="Q17" i="31"/>
  <c r="R17" i="31"/>
  <c r="S17" i="31"/>
  <c r="T17" i="31"/>
  <c r="U17" i="31"/>
  <c r="V17" i="31"/>
  <c r="W17" i="31"/>
  <c r="X17" i="31"/>
  <c r="Y17" i="31"/>
  <c r="Z17" i="31"/>
  <c r="AA17" i="31"/>
  <c r="AB17" i="31"/>
  <c r="AC17" i="31"/>
  <c r="AD17" i="31"/>
  <c r="AE17" i="31"/>
  <c r="AF17" i="31"/>
  <c r="AG17" i="31"/>
  <c r="AH17" i="31"/>
  <c r="AI17" i="31"/>
  <c r="AJ17" i="31"/>
  <c r="AK17" i="31"/>
  <c r="AL17" i="31"/>
  <c r="AM17" i="31"/>
  <c r="AN17" i="31"/>
  <c r="AO17" i="31"/>
  <c r="AP17" i="31"/>
  <c r="AQ17" i="31"/>
  <c r="AR17" i="31"/>
  <c r="AS17" i="31"/>
  <c r="AT17" i="31"/>
  <c r="AU17" i="31"/>
  <c r="AV17" i="31"/>
  <c r="AW17" i="31"/>
  <c r="AX17" i="31"/>
  <c r="AY17" i="31"/>
  <c r="AZ17" i="31"/>
  <c r="BA17" i="31"/>
  <c r="BB17" i="31"/>
  <c r="BC17" i="31"/>
  <c r="S18" i="31"/>
  <c r="W18" i="31"/>
  <c r="AY18" i="31"/>
  <c r="BC18" i="31"/>
  <c r="I20" i="31"/>
  <c r="J20" i="31"/>
  <c r="K20" i="31"/>
  <c r="L20" i="31"/>
  <c r="M20" i="31"/>
  <c r="N20" i="31"/>
  <c r="O20" i="31"/>
  <c r="P20" i="31"/>
  <c r="Q20" i="31"/>
  <c r="R20" i="31"/>
  <c r="S20" i="31"/>
  <c r="T20" i="31"/>
  <c r="U20" i="31"/>
  <c r="V20" i="31"/>
  <c r="W20" i="31"/>
  <c r="X20" i="31"/>
  <c r="Y20" i="31"/>
  <c r="Z20" i="31"/>
  <c r="AA20" i="31"/>
  <c r="AB20" i="31"/>
  <c r="AC20" i="31"/>
  <c r="AD20" i="31"/>
  <c r="AE20" i="31"/>
  <c r="AF20" i="31"/>
  <c r="AG20" i="31"/>
  <c r="AH20" i="31"/>
  <c r="AI20" i="31"/>
  <c r="AJ20" i="31"/>
  <c r="AK20" i="31"/>
  <c r="AL20" i="31"/>
  <c r="AM20" i="31"/>
  <c r="AN20" i="31"/>
  <c r="AO20" i="31"/>
  <c r="AP20" i="31"/>
  <c r="AQ20" i="31"/>
  <c r="AR20" i="31"/>
  <c r="AS20" i="31"/>
  <c r="AT20" i="31"/>
  <c r="AU20" i="31"/>
  <c r="AV20" i="31"/>
  <c r="AW20" i="31"/>
  <c r="AX20" i="31"/>
  <c r="AY20" i="31"/>
  <c r="AZ20" i="31"/>
  <c r="BA20" i="31"/>
  <c r="BB20" i="31"/>
  <c r="BC20" i="31"/>
  <c r="H21" i="31"/>
  <c r="I21" i="31"/>
  <c r="J21" i="31"/>
  <c r="K21" i="31"/>
  <c r="L21" i="31"/>
  <c r="M21" i="31"/>
  <c r="N21" i="31"/>
  <c r="O21" i="31"/>
  <c r="P21" i="31"/>
  <c r="Q21" i="31"/>
  <c r="R21" i="31"/>
  <c r="S21" i="31"/>
  <c r="T21" i="31"/>
  <c r="U21" i="31"/>
  <c r="V21" i="31"/>
  <c r="W21" i="31"/>
  <c r="X21" i="31"/>
  <c r="Y21" i="31"/>
  <c r="Z21" i="31"/>
  <c r="AA21" i="31"/>
  <c r="AB21" i="31"/>
  <c r="AC21" i="31"/>
  <c r="AD21" i="31"/>
  <c r="AE21" i="31"/>
  <c r="AF21" i="31"/>
  <c r="AG21" i="31"/>
  <c r="AH21" i="31"/>
  <c r="AI21" i="31"/>
  <c r="AJ21" i="31"/>
  <c r="AK21" i="31"/>
  <c r="AL21" i="31"/>
  <c r="AM21" i="31"/>
  <c r="AN21" i="31"/>
  <c r="AO21" i="31"/>
  <c r="AP21" i="31"/>
  <c r="AQ21" i="31"/>
  <c r="AR21" i="31"/>
  <c r="AS21" i="31"/>
  <c r="AT21" i="31"/>
  <c r="AU21" i="31"/>
  <c r="AV21" i="31"/>
  <c r="AW21" i="31"/>
  <c r="AX21" i="31"/>
  <c r="AY21" i="31"/>
  <c r="AZ21" i="31"/>
  <c r="BA21" i="31"/>
  <c r="BB21" i="31"/>
  <c r="BC21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G22" i="31"/>
  <c r="AH22" i="31"/>
  <c r="AI22" i="31"/>
  <c r="AJ22" i="31"/>
  <c r="AK22" i="31"/>
  <c r="AL22" i="31"/>
  <c r="AM22" i="31"/>
  <c r="AN22" i="31"/>
  <c r="AO22" i="31"/>
  <c r="AP22" i="31"/>
  <c r="AQ22" i="31"/>
  <c r="AR22" i="31"/>
  <c r="AS22" i="31"/>
  <c r="AT22" i="31"/>
  <c r="AU22" i="31"/>
  <c r="AV22" i="31"/>
  <c r="AW22" i="31"/>
  <c r="AX22" i="31"/>
  <c r="AY22" i="31"/>
  <c r="AZ22" i="31"/>
  <c r="BA22" i="31"/>
  <c r="BB22" i="31"/>
  <c r="BC22" i="31"/>
  <c r="H23" i="31"/>
  <c r="I23" i="31"/>
  <c r="J23" i="31"/>
  <c r="K23" i="31"/>
  <c r="L23" i="31"/>
  <c r="M23" i="31"/>
  <c r="N23" i="31"/>
  <c r="O23" i="31"/>
  <c r="P23" i="31"/>
  <c r="Q23" i="31"/>
  <c r="R23" i="31"/>
  <c r="S23" i="31"/>
  <c r="T23" i="31"/>
  <c r="U23" i="31"/>
  <c r="V23" i="31"/>
  <c r="W23" i="31"/>
  <c r="X23" i="31"/>
  <c r="Y23" i="31"/>
  <c r="Z23" i="31"/>
  <c r="AA23" i="31"/>
  <c r="AB23" i="31"/>
  <c r="AC23" i="31"/>
  <c r="AD23" i="31"/>
  <c r="AE23" i="31"/>
  <c r="AF23" i="31"/>
  <c r="AG23" i="31"/>
  <c r="AH23" i="31"/>
  <c r="AI23" i="31"/>
  <c r="AJ23" i="31"/>
  <c r="AK23" i="31"/>
  <c r="AL23" i="31"/>
  <c r="AM23" i="31"/>
  <c r="AN23" i="31"/>
  <c r="AO23" i="31"/>
  <c r="AP23" i="31"/>
  <c r="AQ23" i="31"/>
  <c r="AR23" i="31"/>
  <c r="AS23" i="31"/>
  <c r="AT23" i="31"/>
  <c r="AU23" i="31"/>
  <c r="AV23" i="31"/>
  <c r="AW23" i="31"/>
  <c r="AX23" i="31"/>
  <c r="AY23" i="31"/>
  <c r="AZ23" i="31"/>
  <c r="BA23" i="31"/>
  <c r="BB23" i="31"/>
  <c r="BC23" i="31"/>
  <c r="O24" i="31"/>
  <c r="AE24" i="31"/>
  <c r="AM24" i="31"/>
  <c r="AZ24" i="31"/>
  <c r="I25" i="31"/>
  <c r="J25" i="31" s="1"/>
  <c r="K25" i="31" s="1"/>
  <c r="L25" i="31" s="1"/>
  <c r="M25" i="31" s="1"/>
  <c r="N25" i="31" s="1"/>
  <c r="O25" i="31" s="1"/>
  <c r="P25" i="31" s="1"/>
  <c r="Q25" i="31" s="1"/>
  <c r="R25" i="31" s="1"/>
  <c r="S25" i="31" s="1"/>
  <c r="T25" i="31" s="1"/>
  <c r="U25" i="31" s="1"/>
  <c r="V25" i="31" s="1"/>
  <c r="W25" i="31" s="1"/>
  <c r="X25" i="31" s="1"/>
  <c r="Y25" i="31" s="1"/>
  <c r="Z25" i="31" s="1"/>
  <c r="AA25" i="31" s="1"/>
  <c r="AB25" i="31" s="1"/>
  <c r="AC25" i="31" s="1"/>
  <c r="AD25" i="31" s="1"/>
  <c r="AE25" i="31" s="1"/>
  <c r="AF25" i="31" s="1"/>
  <c r="AG25" i="31" s="1"/>
  <c r="AH25" i="31" s="1"/>
  <c r="AI25" i="31" s="1"/>
  <c r="AJ25" i="31" s="1"/>
  <c r="AK25" i="31" s="1"/>
  <c r="AL25" i="31" s="1"/>
  <c r="AM25" i="31" s="1"/>
  <c r="AN25" i="31" s="1"/>
  <c r="AO25" i="31" s="1"/>
  <c r="AP25" i="31" s="1"/>
  <c r="AQ25" i="31"/>
  <c r="AR25" i="31"/>
  <c r="AS25" i="31"/>
  <c r="AT25" i="31"/>
  <c r="AU25" i="31"/>
  <c r="AV25" i="31"/>
  <c r="AW25" i="31"/>
  <c r="AX25" i="31"/>
  <c r="AY25" i="31"/>
  <c r="AZ25" i="31"/>
  <c r="BA25" i="31"/>
  <c r="BB25" i="31"/>
  <c r="BC25" i="31"/>
  <c r="AQ26" i="31"/>
  <c r="AR26" i="31"/>
  <c r="AS26" i="31"/>
  <c r="AT26" i="31"/>
  <c r="AU26" i="31"/>
  <c r="AV26" i="31"/>
  <c r="AW26" i="31"/>
  <c r="AX26" i="31"/>
  <c r="AY26" i="31"/>
  <c r="AZ26" i="31"/>
  <c r="BA26" i="31"/>
  <c r="BB26" i="31"/>
  <c r="BC26" i="31"/>
  <c r="G16" i="31"/>
  <c r="G8" i="31"/>
  <c r="H26" i="31"/>
  <c r="I26" i="31" s="1"/>
  <c r="J26" i="31" s="1"/>
  <c r="K26" i="31" s="1"/>
  <c r="L26" i="31" s="1"/>
  <c r="M26" i="31" s="1"/>
  <c r="N26" i="31" s="1"/>
  <c r="O26" i="31" s="1"/>
  <c r="P26" i="31" s="1"/>
  <c r="Q26" i="31" s="1"/>
  <c r="R26" i="31" s="1"/>
  <c r="S26" i="31" s="1"/>
  <c r="T26" i="31" s="1"/>
  <c r="U26" i="31" s="1"/>
  <c r="V26" i="31" s="1"/>
  <c r="W26" i="31" s="1"/>
  <c r="X26" i="31" s="1"/>
  <c r="Y26" i="31" s="1"/>
  <c r="Z26" i="31" s="1"/>
  <c r="AA26" i="31" s="1"/>
  <c r="AB26" i="31" s="1"/>
  <c r="AC26" i="31" s="1"/>
  <c r="AD26" i="31" s="1"/>
  <c r="AE26" i="31" s="1"/>
  <c r="AF26" i="31" s="1"/>
  <c r="AG26" i="31" s="1"/>
  <c r="AH26" i="31" s="1"/>
  <c r="AI26" i="31" s="1"/>
  <c r="AJ26" i="31" s="1"/>
  <c r="AK26" i="31" s="1"/>
  <c r="AL26" i="31" s="1"/>
  <c r="AM26" i="31" s="1"/>
  <c r="AN26" i="31" s="1"/>
  <c r="AO26" i="31" s="1"/>
  <c r="AP26" i="31" s="1"/>
  <c r="H25" i="31"/>
  <c r="G23" i="31"/>
  <c r="G22" i="31"/>
  <c r="G21" i="31"/>
  <c r="G17" i="31"/>
  <c r="G15" i="31"/>
  <c r="G14" i="31"/>
  <c r="G9" i="31"/>
  <c r="F24" i="31"/>
  <c r="K24" i="31" s="1"/>
  <c r="F18" i="31"/>
  <c r="BD18" i="31" s="1"/>
  <c r="F11" i="31"/>
  <c r="F13" i="31"/>
  <c r="F10" i="31"/>
  <c r="F9" i="31"/>
  <c r="BD9" i="31" s="1"/>
  <c r="I14" i="30"/>
  <c r="I15" i="30"/>
  <c r="G34" i="23"/>
  <c r="G33" i="23"/>
  <c r="G32" i="23"/>
  <c r="G31" i="23"/>
  <c r="G30" i="23"/>
  <c r="G29" i="23"/>
  <c r="G22" i="23"/>
  <c r="G21" i="23"/>
  <c r="G20" i="23"/>
  <c r="G19" i="23"/>
  <c r="G18" i="23"/>
  <c r="G17" i="23"/>
  <c r="G10" i="23"/>
  <c r="M12" i="23" s="1"/>
  <c r="S10" i="2" s="1"/>
  <c r="G9" i="23"/>
  <c r="G8" i="23"/>
  <c r="M7" i="23" s="1"/>
  <c r="Q45" i="37" s="1"/>
  <c r="G7" i="23"/>
  <c r="G6" i="23"/>
  <c r="G5" i="23"/>
  <c r="G79" i="3"/>
  <c r="G78" i="3"/>
  <c r="F77" i="3"/>
  <c r="G77" i="3" s="1"/>
  <c r="G76" i="3"/>
  <c r="G75" i="3"/>
  <c r="G74" i="3"/>
  <c r="G73" i="3"/>
  <c r="G72" i="3"/>
  <c r="F71" i="3"/>
  <c r="G71" i="3" s="1"/>
  <c r="E71" i="3"/>
  <c r="G70" i="3"/>
  <c r="G69" i="3"/>
  <c r="G68" i="3"/>
  <c r="G67" i="3"/>
  <c r="G66" i="3"/>
  <c r="G65" i="3"/>
  <c r="G64" i="3"/>
  <c r="F63" i="3"/>
  <c r="G63" i="3" s="1"/>
  <c r="F62" i="3"/>
  <c r="G62" i="3" s="1"/>
  <c r="E62" i="3"/>
  <c r="G61" i="3"/>
  <c r="F60" i="3"/>
  <c r="G60" i="3" s="1"/>
  <c r="F59" i="3"/>
  <c r="G59" i="3" s="1"/>
  <c r="G53" i="3"/>
  <c r="G52" i="3"/>
  <c r="F51" i="3"/>
  <c r="G51" i="3" s="1"/>
  <c r="G50" i="3"/>
  <c r="G49" i="3"/>
  <c r="G48" i="3"/>
  <c r="G47" i="3"/>
  <c r="G46" i="3"/>
  <c r="F45" i="3"/>
  <c r="G45" i="3" s="1"/>
  <c r="E45" i="3"/>
  <c r="G44" i="3"/>
  <c r="G43" i="3"/>
  <c r="G42" i="3"/>
  <c r="G41" i="3"/>
  <c r="G40" i="3"/>
  <c r="G39" i="3"/>
  <c r="G38" i="3"/>
  <c r="F37" i="3"/>
  <c r="G37" i="3" s="1"/>
  <c r="F36" i="3"/>
  <c r="G36" i="3" s="1"/>
  <c r="E36" i="3"/>
  <c r="G35" i="3"/>
  <c r="F34" i="3"/>
  <c r="G34" i="3" s="1"/>
  <c r="F33" i="3"/>
  <c r="G33" i="3" s="1"/>
  <c r="G17" i="3"/>
  <c r="N16" i="3" s="1"/>
  <c r="N44" i="37" s="1"/>
  <c r="AD44" i="37" s="1"/>
  <c r="F20" i="11"/>
  <c r="F19" i="11"/>
  <c r="N47" i="28"/>
  <c r="O47" i="28"/>
  <c r="P47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Q47" i="28"/>
  <c r="AR47" i="28"/>
  <c r="AS47" i="28"/>
  <c r="AT47" i="28"/>
  <c r="AU47" i="28"/>
  <c r="AV47" i="28"/>
  <c r="AW47" i="28"/>
  <c r="AX47" i="28"/>
  <c r="AY47" i="28"/>
  <c r="AZ47" i="28"/>
  <c r="BA47" i="28"/>
  <c r="BB47" i="28"/>
  <c r="BJ47" i="28"/>
  <c r="BK47" i="28"/>
  <c r="BL47" i="28"/>
  <c r="BM47" i="28"/>
  <c r="BN47" i="28"/>
  <c r="BO47" i="28"/>
  <c r="BP47" i="28"/>
  <c r="BQ47" i="28"/>
  <c r="BR47" i="28"/>
  <c r="BS47" i="28"/>
  <c r="BT47" i="28"/>
  <c r="BU47" i="28"/>
  <c r="BV47" i="28"/>
  <c r="BW47" i="28"/>
  <c r="BX47" i="28"/>
  <c r="BY47" i="28"/>
  <c r="BZ47" i="28"/>
  <c r="CA47" i="28"/>
  <c r="CB47" i="28"/>
  <c r="CC47" i="28"/>
  <c r="CD47" i="28"/>
  <c r="CE47" i="28"/>
  <c r="CF47" i="28"/>
  <c r="CG47" i="28"/>
  <c r="CH47" i="28"/>
  <c r="CI47" i="28"/>
  <c r="CJ47" i="28"/>
  <c r="CK47" i="28"/>
  <c r="CL47" i="28"/>
  <c r="CM47" i="28"/>
  <c r="CN47" i="28"/>
  <c r="CO47" i="28"/>
  <c r="CP47" i="28"/>
  <c r="CQ47" i="28"/>
  <c r="CR47" i="28"/>
  <c r="CS47" i="28"/>
  <c r="CT47" i="28"/>
  <c r="CU47" i="28"/>
  <c r="CV47" i="28"/>
  <c r="CW47" i="28"/>
  <c r="CX47" i="28"/>
  <c r="CY47" i="28"/>
  <c r="CZ47" i="28"/>
  <c r="DA47" i="28"/>
  <c r="DB47" i="28"/>
  <c r="DC47" i="28"/>
  <c r="DD47" i="28"/>
  <c r="DE47" i="28"/>
  <c r="DF47" i="28"/>
  <c r="DG47" i="28"/>
  <c r="DH47" i="28"/>
  <c r="DI47" i="28"/>
  <c r="DJ47" i="28"/>
  <c r="DK47" i="28"/>
  <c r="DL47" i="28"/>
  <c r="DM47" i="28"/>
  <c r="DN47" i="28"/>
  <c r="DO47" i="28"/>
  <c r="DP47" i="28"/>
  <c r="DQ47" i="28"/>
  <c r="DR47" i="28"/>
  <c r="DS47" i="28"/>
  <c r="DT47" i="28"/>
  <c r="DU47" i="28"/>
  <c r="DV47" i="28"/>
  <c r="DW47" i="28"/>
  <c r="DX47" i="28"/>
  <c r="DY47" i="28"/>
  <c r="DZ47" i="28"/>
  <c r="EA47" i="28"/>
  <c r="EB47" i="28"/>
  <c r="EC47" i="28"/>
  <c r="ED47" i="28"/>
  <c r="EE47" i="28"/>
  <c r="EF47" i="28"/>
  <c r="EG47" i="28"/>
  <c r="EH47" i="28"/>
  <c r="EI47" i="28"/>
  <c r="EJ47" i="28"/>
  <c r="EK47" i="28"/>
  <c r="EL47" i="28"/>
  <c r="EM47" i="28"/>
  <c r="EN47" i="28"/>
  <c r="EO47" i="28"/>
  <c r="EP47" i="28"/>
  <c r="EQ47" i="28"/>
  <c r="ER47" i="28"/>
  <c r="ES47" i="28"/>
  <c r="ET47" i="28"/>
  <c r="EU47" i="28"/>
  <c r="EV47" i="28"/>
  <c r="EW47" i="28"/>
  <c r="EX47" i="28"/>
  <c r="EY47" i="28"/>
  <c r="EZ47" i="28"/>
  <c r="FA47" i="28"/>
  <c r="FB47" i="28"/>
  <c r="FC47" i="28"/>
  <c r="FD47" i="28"/>
  <c r="FE47" i="28"/>
  <c r="FF47" i="28"/>
  <c r="FG47" i="28"/>
  <c r="FH47" i="28"/>
  <c r="FI47" i="28"/>
  <c r="FJ47" i="28"/>
  <c r="FK47" i="28"/>
  <c r="FL47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Q48" i="28"/>
  <c r="AR48" i="28"/>
  <c r="AS48" i="28"/>
  <c r="AT48" i="28"/>
  <c r="AU48" i="28"/>
  <c r="AV48" i="28"/>
  <c r="AW48" i="28"/>
  <c r="AX48" i="28"/>
  <c r="AY48" i="28"/>
  <c r="AZ48" i="28"/>
  <c r="BA48" i="28"/>
  <c r="BB48" i="28"/>
  <c r="BJ48" i="28"/>
  <c r="BK48" i="28"/>
  <c r="BL48" i="28"/>
  <c r="BM48" i="28"/>
  <c r="BN48" i="28"/>
  <c r="BO48" i="28"/>
  <c r="BP48" i="28"/>
  <c r="BQ48" i="28"/>
  <c r="BR48" i="28"/>
  <c r="BS48" i="28"/>
  <c r="BT48" i="28"/>
  <c r="BU48" i="28"/>
  <c r="BV48" i="28"/>
  <c r="BW48" i="28"/>
  <c r="BX48" i="28"/>
  <c r="BY48" i="28"/>
  <c r="BZ48" i="28"/>
  <c r="CA48" i="28"/>
  <c r="CB48" i="28"/>
  <c r="CC48" i="28"/>
  <c r="CD48" i="28"/>
  <c r="CE48" i="28"/>
  <c r="CF48" i="28"/>
  <c r="CG48" i="28"/>
  <c r="CH48" i="28"/>
  <c r="CI48" i="28"/>
  <c r="CJ48" i="28"/>
  <c r="CK48" i="28"/>
  <c r="CL48" i="28"/>
  <c r="CM48" i="28"/>
  <c r="CN48" i="28"/>
  <c r="CO48" i="28"/>
  <c r="CP48" i="28"/>
  <c r="CQ48" i="28"/>
  <c r="CR48" i="28"/>
  <c r="CS48" i="28"/>
  <c r="CT48" i="28"/>
  <c r="CU48" i="28"/>
  <c r="CV48" i="28"/>
  <c r="CW48" i="28"/>
  <c r="CX48" i="28"/>
  <c r="CY48" i="28"/>
  <c r="CZ48" i="28"/>
  <c r="DA48" i="28"/>
  <c r="DB48" i="28"/>
  <c r="DC48" i="28"/>
  <c r="DD48" i="28"/>
  <c r="DE48" i="28"/>
  <c r="DF48" i="28"/>
  <c r="DG48" i="28"/>
  <c r="DH48" i="28"/>
  <c r="DI48" i="28"/>
  <c r="DJ48" i="28"/>
  <c r="DK48" i="28"/>
  <c r="DL48" i="28"/>
  <c r="DM48" i="28"/>
  <c r="DN48" i="28"/>
  <c r="DO48" i="28"/>
  <c r="DP48" i="28"/>
  <c r="DQ48" i="28"/>
  <c r="DR48" i="28"/>
  <c r="DS48" i="28"/>
  <c r="DT48" i="28"/>
  <c r="DU48" i="28"/>
  <c r="DV48" i="28"/>
  <c r="DW48" i="28"/>
  <c r="DX48" i="28"/>
  <c r="DY48" i="28"/>
  <c r="DZ48" i="28"/>
  <c r="EA48" i="28"/>
  <c r="EB48" i="28"/>
  <c r="EC48" i="28"/>
  <c r="ED48" i="28"/>
  <c r="EE48" i="28"/>
  <c r="EF48" i="28"/>
  <c r="EG48" i="28"/>
  <c r="EH48" i="28"/>
  <c r="EI48" i="28"/>
  <c r="EJ48" i="28"/>
  <c r="EK48" i="28"/>
  <c r="EL48" i="28"/>
  <c r="EM48" i="28"/>
  <c r="EN48" i="28"/>
  <c r="EO48" i="28"/>
  <c r="EP48" i="28"/>
  <c r="EQ48" i="28"/>
  <c r="ER48" i="28"/>
  <c r="ES48" i="28"/>
  <c r="ET48" i="28"/>
  <c r="EU48" i="28"/>
  <c r="EV48" i="28"/>
  <c r="EW48" i="28"/>
  <c r="EX48" i="28"/>
  <c r="EY48" i="28"/>
  <c r="EZ48" i="28"/>
  <c r="FA48" i="28"/>
  <c r="FB48" i="28"/>
  <c r="FC48" i="28"/>
  <c r="FD48" i="28"/>
  <c r="FE48" i="28"/>
  <c r="FF48" i="28"/>
  <c r="FG48" i="28"/>
  <c r="FH48" i="28"/>
  <c r="FI48" i="28"/>
  <c r="FJ48" i="28"/>
  <c r="FK48" i="28"/>
  <c r="FL48" i="28"/>
  <c r="N49" i="28"/>
  <c r="P49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AC49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Q49" i="28"/>
  <c r="AR49" i="28"/>
  <c r="AS49" i="28"/>
  <c r="AT49" i="28"/>
  <c r="AU49" i="28"/>
  <c r="AV49" i="28"/>
  <c r="AW49" i="28"/>
  <c r="AX49" i="28"/>
  <c r="AY49" i="28"/>
  <c r="AZ49" i="28"/>
  <c r="BA49" i="28"/>
  <c r="BB49" i="28"/>
  <c r="BJ49" i="28"/>
  <c r="BK49" i="28"/>
  <c r="BL49" i="28"/>
  <c r="BM49" i="28"/>
  <c r="BN49" i="28"/>
  <c r="BO49" i="28"/>
  <c r="BP49" i="28"/>
  <c r="BQ49" i="28"/>
  <c r="BR49" i="28"/>
  <c r="BS49" i="28"/>
  <c r="BT49" i="28"/>
  <c r="BU49" i="28"/>
  <c r="BV49" i="28"/>
  <c r="BW49" i="28"/>
  <c r="BX49" i="28"/>
  <c r="BY49" i="28"/>
  <c r="BZ49" i="28"/>
  <c r="CA49" i="28"/>
  <c r="CB49" i="28"/>
  <c r="CC49" i="28"/>
  <c r="CD49" i="28"/>
  <c r="CE49" i="28"/>
  <c r="CF49" i="28"/>
  <c r="CG49" i="28"/>
  <c r="CH49" i="28"/>
  <c r="CI49" i="28"/>
  <c r="CJ49" i="28"/>
  <c r="CK49" i="28"/>
  <c r="CL49" i="28"/>
  <c r="CM49" i="28"/>
  <c r="CN49" i="28"/>
  <c r="CO49" i="28"/>
  <c r="CP49" i="28"/>
  <c r="CQ49" i="28"/>
  <c r="CR49" i="28"/>
  <c r="CS49" i="28"/>
  <c r="CT49" i="28"/>
  <c r="CU49" i="28"/>
  <c r="CV49" i="28"/>
  <c r="CW49" i="28"/>
  <c r="CX49" i="28"/>
  <c r="CY49" i="28"/>
  <c r="CZ49" i="28"/>
  <c r="DA49" i="28"/>
  <c r="DB49" i="28"/>
  <c r="DC49" i="28"/>
  <c r="DD49" i="28"/>
  <c r="DE49" i="28"/>
  <c r="DF49" i="28"/>
  <c r="DG49" i="28"/>
  <c r="DH49" i="28"/>
  <c r="DI49" i="28"/>
  <c r="DJ49" i="28"/>
  <c r="DK49" i="28"/>
  <c r="DL49" i="28"/>
  <c r="DM49" i="28"/>
  <c r="DN49" i="28"/>
  <c r="DO49" i="28"/>
  <c r="DP49" i="28"/>
  <c r="DQ49" i="28"/>
  <c r="DR49" i="28"/>
  <c r="DS49" i="28"/>
  <c r="DT49" i="28"/>
  <c r="DU49" i="28"/>
  <c r="DV49" i="28"/>
  <c r="DW49" i="28"/>
  <c r="DX49" i="28"/>
  <c r="DY49" i="28"/>
  <c r="DZ49" i="28"/>
  <c r="EA49" i="28"/>
  <c r="EB49" i="28"/>
  <c r="EC49" i="28"/>
  <c r="ED49" i="28"/>
  <c r="EE49" i="28"/>
  <c r="EF49" i="28"/>
  <c r="EG49" i="28"/>
  <c r="EH49" i="28"/>
  <c r="EI49" i="28"/>
  <c r="EJ49" i="28"/>
  <c r="EK49" i="28"/>
  <c r="EL49" i="28"/>
  <c r="EM49" i="28"/>
  <c r="EN49" i="28"/>
  <c r="EO49" i="28"/>
  <c r="EP49" i="28"/>
  <c r="EQ49" i="28"/>
  <c r="ER49" i="28"/>
  <c r="ES49" i="28"/>
  <c r="ET49" i="28"/>
  <c r="EU49" i="28"/>
  <c r="EV49" i="28"/>
  <c r="EW49" i="28"/>
  <c r="EX49" i="28"/>
  <c r="EY49" i="28"/>
  <c r="EZ49" i="28"/>
  <c r="FA49" i="28"/>
  <c r="FB49" i="28"/>
  <c r="FC49" i="28"/>
  <c r="FD49" i="28"/>
  <c r="FE49" i="28"/>
  <c r="FF49" i="28"/>
  <c r="FG49" i="28"/>
  <c r="FH49" i="28"/>
  <c r="FI49" i="28"/>
  <c r="FJ49" i="28"/>
  <c r="FK49" i="28"/>
  <c r="FL49" i="28"/>
  <c r="N50" i="28"/>
  <c r="O50" i="28"/>
  <c r="P50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AC50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Q50" i="28"/>
  <c r="AR50" i="28"/>
  <c r="AS50" i="28"/>
  <c r="AT50" i="28"/>
  <c r="AU50" i="28"/>
  <c r="AV50" i="28"/>
  <c r="AW50" i="28"/>
  <c r="AX50" i="28"/>
  <c r="AY50" i="28"/>
  <c r="AZ50" i="28"/>
  <c r="BA50" i="28"/>
  <c r="BB50" i="28"/>
  <c r="BJ50" i="28"/>
  <c r="BK50" i="28"/>
  <c r="BL50" i="28"/>
  <c r="BM50" i="28"/>
  <c r="BN50" i="28"/>
  <c r="BO50" i="28"/>
  <c r="BP50" i="28"/>
  <c r="BQ50" i="28"/>
  <c r="BR50" i="28"/>
  <c r="BS50" i="28"/>
  <c r="BT50" i="28"/>
  <c r="BU50" i="28"/>
  <c r="BV50" i="28"/>
  <c r="BW50" i="28"/>
  <c r="BX50" i="28"/>
  <c r="BY50" i="28"/>
  <c r="BZ50" i="28"/>
  <c r="CA50" i="28"/>
  <c r="CB50" i="28"/>
  <c r="CC50" i="28"/>
  <c r="CD50" i="28"/>
  <c r="CE50" i="28"/>
  <c r="CF50" i="28"/>
  <c r="CG50" i="28"/>
  <c r="CH50" i="28"/>
  <c r="CI50" i="28"/>
  <c r="CJ50" i="28"/>
  <c r="CK50" i="28"/>
  <c r="CL50" i="28"/>
  <c r="CM50" i="28"/>
  <c r="CN50" i="28"/>
  <c r="CO50" i="28"/>
  <c r="CP50" i="28"/>
  <c r="CQ50" i="28"/>
  <c r="CR50" i="28"/>
  <c r="CS50" i="28"/>
  <c r="CT50" i="28"/>
  <c r="CU50" i="28"/>
  <c r="CV50" i="28"/>
  <c r="CW50" i="28"/>
  <c r="CX50" i="28"/>
  <c r="CY50" i="28"/>
  <c r="CZ50" i="28"/>
  <c r="DA50" i="28"/>
  <c r="DB50" i="28"/>
  <c r="DC50" i="28"/>
  <c r="DD50" i="28"/>
  <c r="DE50" i="28"/>
  <c r="DF50" i="28"/>
  <c r="DG50" i="28"/>
  <c r="DH50" i="28"/>
  <c r="DI50" i="28"/>
  <c r="DJ50" i="28"/>
  <c r="DK50" i="28"/>
  <c r="DL50" i="28"/>
  <c r="DM50" i="28"/>
  <c r="DN50" i="28"/>
  <c r="DO50" i="28"/>
  <c r="DP50" i="28"/>
  <c r="DQ50" i="28"/>
  <c r="DR50" i="28"/>
  <c r="DS50" i="28"/>
  <c r="DT50" i="28"/>
  <c r="DU50" i="28"/>
  <c r="DV50" i="28"/>
  <c r="DW50" i="28"/>
  <c r="DX50" i="28"/>
  <c r="DY50" i="28"/>
  <c r="DZ50" i="28"/>
  <c r="EA50" i="28"/>
  <c r="EB50" i="28"/>
  <c r="EC50" i="28"/>
  <c r="ED50" i="28"/>
  <c r="EE50" i="28"/>
  <c r="EF50" i="28"/>
  <c r="EG50" i="28"/>
  <c r="EH50" i="28"/>
  <c r="EI50" i="28"/>
  <c r="EJ50" i="28"/>
  <c r="EK50" i="28"/>
  <c r="EL50" i="28"/>
  <c r="EM50" i="28"/>
  <c r="EN50" i="28"/>
  <c r="EO50" i="28"/>
  <c r="EP50" i="28"/>
  <c r="EQ50" i="28"/>
  <c r="ER50" i="28"/>
  <c r="ES50" i="28"/>
  <c r="ET50" i="28"/>
  <c r="EU50" i="28"/>
  <c r="EV50" i="28"/>
  <c r="EW50" i="28"/>
  <c r="EX50" i="28"/>
  <c r="EY50" i="28"/>
  <c r="EZ50" i="28"/>
  <c r="FA50" i="28"/>
  <c r="FB50" i="28"/>
  <c r="FC50" i="28"/>
  <c r="FD50" i="28"/>
  <c r="FE50" i="28"/>
  <c r="FF50" i="28"/>
  <c r="FG50" i="28"/>
  <c r="FH50" i="28"/>
  <c r="FI50" i="28"/>
  <c r="FJ50" i="28"/>
  <c r="FK50" i="28"/>
  <c r="FL50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AC51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V51" i="28"/>
  <c r="AW51" i="28"/>
  <c r="AX51" i="28"/>
  <c r="AY51" i="28"/>
  <c r="AZ51" i="28"/>
  <c r="BA51" i="28"/>
  <c r="BB51" i="28"/>
  <c r="BJ51" i="28"/>
  <c r="BK51" i="28"/>
  <c r="BL51" i="28"/>
  <c r="BM51" i="28"/>
  <c r="BN51" i="28"/>
  <c r="BO51" i="28"/>
  <c r="BP51" i="28"/>
  <c r="BQ51" i="28"/>
  <c r="BR51" i="28"/>
  <c r="BS51" i="28"/>
  <c r="BT51" i="28"/>
  <c r="BU51" i="28"/>
  <c r="BV51" i="28"/>
  <c r="BW51" i="28"/>
  <c r="BX51" i="28"/>
  <c r="BY51" i="28"/>
  <c r="BZ51" i="28"/>
  <c r="CA51" i="28"/>
  <c r="CB51" i="28"/>
  <c r="CC51" i="28"/>
  <c r="CD51" i="28"/>
  <c r="CE51" i="28"/>
  <c r="CF51" i="28"/>
  <c r="CG51" i="28"/>
  <c r="CH51" i="28"/>
  <c r="CI51" i="28"/>
  <c r="CJ51" i="28"/>
  <c r="CK51" i="28"/>
  <c r="CL51" i="28"/>
  <c r="CM51" i="28"/>
  <c r="CN51" i="28"/>
  <c r="CO51" i="28"/>
  <c r="CP51" i="28"/>
  <c r="CQ51" i="28"/>
  <c r="CR51" i="28"/>
  <c r="CS51" i="28"/>
  <c r="CT51" i="28"/>
  <c r="CU51" i="28"/>
  <c r="CV51" i="28"/>
  <c r="CW51" i="28"/>
  <c r="CX51" i="28"/>
  <c r="CY51" i="28"/>
  <c r="CZ51" i="28"/>
  <c r="DA51" i="28"/>
  <c r="DB51" i="28"/>
  <c r="DC51" i="28"/>
  <c r="DD51" i="28"/>
  <c r="DE51" i="28"/>
  <c r="DF51" i="28"/>
  <c r="DG51" i="28"/>
  <c r="DH51" i="28"/>
  <c r="DI51" i="28"/>
  <c r="DJ51" i="28"/>
  <c r="DK51" i="28"/>
  <c r="DL51" i="28"/>
  <c r="DM51" i="28"/>
  <c r="DN51" i="28"/>
  <c r="DO51" i="28"/>
  <c r="DP51" i="28"/>
  <c r="DQ51" i="28"/>
  <c r="DR51" i="28"/>
  <c r="DS51" i="28"/>
  <c r="DT51" i="28"/>
  <c r="DU51" i="28"/>
  <c r="DV51" i="28"/>
  <c r="DW51" i="28"/>
  <c r="DX51" i="28"/>
  <c r="DY51" i="28"/>
  <c r="DZ51" i="28"/>
  <c r="EA51" i="28"/>
  <c r="EB51" i="28"/>
  <c r="EC51" i="28"/>
  <c r="ED51" i="28"/>
  <c r="EE51" i="28"/>
  <c r="EF51" i="28"/>
  <c r="EG51" i="28"/>
  <c r="EH51" i="28"/>
  <c r="EI51" i="28"/>
  <c r="EJ51" i="28"/>
  <c r="EK51" i="28"/>
  <c r="EL51" i="28"/>
  <c r="EM51" i="28"/>
  <c r="EN51" i="28"/>
  <c r="EO51" i="28"/>
  <c r="EP51" i="28"/>
  <c r="EQ51" i="28"/>
  <c r="ER51" i="28"/>
  <c r="ES51" i="28"/>
  <c r="ET51" i="28"/>
  <c r="EU51" i="28"/>
  <c r="EV51" i="28"/>
  <c r="EW51" i="28"/>
  <c r="EX51" i="28"/>
  <c r="EY51" i="28"/>
  <c r="EZ51" i="28"/>
  <c r="FA51" i="28"/>
  <c r="FB51" i="28"/>
  <c r="FC51" i="28"/>
  <c r="FD51" i="28"/>
  <c r="FE51" i="28"/>
  <c r="FF51" i="28"/>
  <c r="FG51" i="28"/>
  <c r="FH51" i="28"/>
  <c r="FI51" i="28"/>
  <c r="FJ51" i="28"/>
  <c r="FK51" i="28"/>
  <c r="FL51" i="28"/>
  <c r="N52" i="28"/>
  <c r="O52" i="28"/>
  <c r="P52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AC52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T52" i="28"/>
  <c r="AU52" i="28"/>
  <c r="AV52" i="28"/>
  <c r="AW52" i="28"/>
  <c r="AX52" i="28"/>
  <c r="AY52" i="28"/>
  <c r="AZ52" i="28"/>
  <c r="BA52" i="28"/>
  <c r="BB52" i="28"/>
  <c r="BJ52" i="28"/>
  <c r="BK52" i="28"/>
  <c r="BL52" i="28"/>
  <c r="BM52" i="28"/>
  <c r="BN52" i="28"/>
  <c r="BO52" i="28"/>
  <c r="BP52" i="28"/>
  <c r="BQ52" i="28"/>
  <c r="BR52" i="28"/>
  <c r="BS52" i="28"/>
  <c r="BT52" i="28"/>
  <c r="BU52" i="28"/>
  <c r="BV52" i="28"/>
  <c r="BW52" i="28"/>
  <c r="BX52" i="28"/>
  <c r="BY52" i="28"/>
  <c r="BZ52" i="28"/>
  <c r="CA52" i="28"/>
  <c r="CB52" i="28"/>
  <c r="CC52" i="28"/>
  <c r="CD52" i="28"/>
  <c r="CE52" i="28"/>
  <c r="CF52" i="28"/>
  <c r="CG52" i="28"/>
  <c r="CH52" i="28"/>
  <c r="CI52" i="28"/>
  <c r="CJ52" i="28"/>
  <c r="CK52" i="28"/>
  <c r="CL52" i="28"/>
  <c r="CM52" i="28"/>
  <c r="CN52" i="28"/>
  <c r="CO52" i="28"/>
  <c r="CP52" i="28"/>
  <c r="CQ52" i="28"/>
  <c r="CR52" i="28"/>
  <c r="CS52" i="28"/>
  <c r="CT52" i="28"/>
  <c r="CU52" i="28"/>
  <c r="CV52" i="28"/>
  <c r="CW52" i="28"/>
  <c r="CX52" i="28"/>
  <c r="CY52" i="28"/>
  <c r="CZ52" i="28"/>
  <c r="DA52" i="28"/>
  <c r="DB52" i="28"/>
  <c r="DC52" i="28"/>
  <c r="DD52" i="28"/>
  <c r="DE52" i="28"/>
  <c r="DF52" i="28"/>
  <c r="DG52" i="28"/>
  <c r="DH52" i="28"/>
  <c r="DI52" i="28"/>
  <c r="DJ52" i="28"/>
  <c r="DK52" i="28"/>
  <c r="DL52" i="28"/>
  <c r="DM52" i="28"/>
  <c r="DN52" i="28"/>
  <c r="DO52" i="28"/>
  <c r="DP52" i="28"/>
  <c r="DQ52" i="28"/>
  <c r="DR52" i="28"/>
  <c r="DS52" i="28"/>
  <c r="DT52" i="28"/>
  <c r="DU52" i="28"/>
  <c r="DV52" i="28"/>
  <c r="DW52" i="28"/>
  <c r="DX52" i="28"/>
  <c r="DY52" i="28"/>
  <c r="DZ52" i="28"/>
  <c r="EA52" i="28"/>
  <c r="EB52" i="28"/>
  <c r="EC52" i="28"/>
  <c r="ED52" i="28"/>
  <c r="EE52" i="28"/>
  <c r="EF52" i="28"/>
  <c r="EG52" i="28"/>
  <c r="EH52" i="28"/>
  <c r="EI52" i="28"/>
  <c r="EJ52" i="28"/>
  <c r="EK52" i="28"/>
  <c r="EL52" i="28"/>
  <c r="EM52" i="28"/>
  <c r="EN52" i="28"/>
  <c r="EO52" i="28"/>
  <c r="EP52" i="28"/>
  <c r="EQ52" i="28"/>
  <c r="ER52" i="28"/>
  <c r="ES52" i="28"/>
  <c r="ET52" i="28"/>
  <c r="EU52" i="28"/>
  <c r="EV52" i="28"/>
  <c r="EW52" i="28"/>
  <c r="EX52" i="28"/>
  <c r="EY52" i="28"/>
  <c r="EZ52" i="28"/>
  <c r="FA52" i="28"/>
  <c r="FB52" i="28"/>
  <c r="FC52" i="28"/>
  <c r="FD52" i="28"/>
  <c r="FE52" i="28"/>
  <c r="FF52" i="28"/>
  <c r="FG52" i="28"/>
  <c r="FH52" i="28"/>
  <c r="FI52" i="28"/>
  <c r="FJ52" i="28"/>
  <c r="FK52" i="28"/>
  <c r="FL52" i="28"/>
  <c r="L45" i="28"/>
  <c r="L44" i="28"/>
  <c r="FL19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Q16" i="28"/>
  <c r="AR16" i="28"/>
  <c r="AS16" i="28"/>
  <c r="AT16" i="28"/>
  <c r="AU16" i="28"/>
  <c r="AV16" i="28"/>
  <c r="AW16" i="28"/>
  <c r="AX16" i="28"/>
  <c r="AY16" i="28"/>
  <c r="AZ16" i="28"/>
  <c r="BA16" i="28"/>
  <c r="BB16" i="28"/>
  <c r="BJ16" i="28"/>
  <c r="BK16" i="28"/>
  <c r="BL16" i="28"/>
  <c r="BM16" i="28"/>
  <c r="BN16" i="28"/>
  <c r="BO16" i="28"/>
  <c r="BP16" i="28"/>
  <c r="BQ16" i="28"/>
  <c r="BR16" i="28"/>
  <c r="BS16" i="28"/>
  <c r="BT16" i="28"/>
  <c r="BU16" i="28"/>
  <c r="BV16" i="28"/>
  <c r="BW16" i="28"/>
  <c r="BX16" i="28"/>
  <c r="BY16" i="28"/>
  <c r="BZ16" i="28"/>
  <c r="CA16" i="28"/>
  <c r="CB16" i="28"/>
  <c r="CC16" i="28"/>
  <c r="CD16" i="28"/>
  <c r="CE16" i="28"/>
  <c r="CF16" i="28"/>
  <c r="CG16" i="28"/>
  <c r="CH16" i="28"/>
  <c r="CI16" i="28"/>
  <c r="CJ16" i="28"/>
  <c r="CK16" i="28"/>
  <c r="CL16" i="28"/>
  <c r="CM16" i="28"/>
  <c r="CN16" i="28"/>
  <c r="CO16" i="28"/>
  <c r="CP16" i="28"/>
  <c r="CQ16" i="28"/>
  <c r="CR16" i="28"/>
  <c r="CS16" i="28"/>
  <c r="CT16" i="28"/>
  <c r="CU16" i="28"/>
  <c r="CV16" i="28"/>
  <c r="CW16" i="28"/>
  <c r="CX16" i="28"/>
  <c r="CY16" i="28"/>
  <c r="CZ16" i="28"/>
  <c r="DA16" i="28"/>
  <c r="DB16" i="28"/>
  <c r="DC16" i="28"/>
  <c r="DD16" i="28"/>
  <c r="DE16" i="28"/>
  <c r="DF16" i="28"/>
  <c r="DG16" i="28"/>
  <c r="DH16" i="28"/>
  <c r="DI16" i="28"/>
  <c r="DJ16" i="28"/>
  <c r="DK16" i="28"/>
  <c r="DL16" i="28"/>
  <c r="DM16" i="28"/>
  <c r="DN16" i="28"/>
  <c r="DO16" i="28"/>
  <c r="DP16" i="28"/>
  <c r="DQ16" i="28"/>
  <c r="DR16" i="28"/>
  <c r="DS16" i="28"/>
  <c r="DT16" i="28"/>
  <c r="DU16" i="28"/>
  <c r="DV16" i="28"/>
  <c r="DW16" i="28"/>
  <c r="DX16" i="28"/>
  <c r="DY16" i="28"/>
  <c r="DZ16" i="28"/>
  <c r="EA16" i="28"/>
  <c r="EB16" i="28"/>
  <c r="EC16" i="28"/>
  <c r="ED16" i="28"/>
  <c r="EE16" i="28"/>
  <c r="EF16" i="28"/>
  <c r="EG16" i="28"/>
  <c r="EH16" i="28"/>
  <c r="EI16" i="28"/>
  <c r="EJ16" i="28"/>
  <c r="EK16" i="28"/>
  <c r="EL16" i="28"/>
  <c r="EM16" i="28"/>
  <c r="EN16" i="28"/>
  <c r="EO16" i="28"/>
  <c r="EP16" i="28"/>
  <c r="EQ16" i="28"/>
  <c r="ER16" i="28"/>
  <c r="ES16" i="28"/>
  <c r="ET16" i="28"/>
  <c r="EU16" i="28"/>
  <c r="EV16" i="28"/>
  <c r="EW16" i="28"/>
  <c r="EX16" i="28"/>
  <c r="EY16" i="28"/>
  <c r="EZ16" i="28"/>
  <c r="FA16" i="28"/>
  <c r="FB16" i="28"/>
  <c r="FC16" i="28"/>
  <c r="FD16" i="28"/>
  <c r="FE16" i="28"/>
  <c r="FF16" i="28"/>
  <c r="FG16" i="28"/>
  <c r="FH16" i="28"/>
  <c r="FI16" i="28"/>
  <c r="FJ16" i="28"/>
  <c r="FK16" i="28"/>
  <c r="FL16" i="28"/>
  <c r="N19" i="28"/>
  <c r="O19" i="28"/>
  <c r="P19" i="28"/>
  <c r="Q19" i="28"/>
  <c r="R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Q19" i="28"/>
  <c r="AR19" i="28"/>
  <c r="AS19" i="28"/>
  <c r="AT19" i="28"/>
  <c r="AU19" i="28"/>
  <c r="AV19" i="28"/>
  <c r="AW19" i="28"/>
  <c r="AX19" i="28"/>
  <c r="AY19" i="28"/>
  <c r="AZ19" i="28"/>
  <c r="BA19" i="28"/>
  <c r="BB19" i="28"/>
  <c r="BJ19" i="28"/>
  <c r="BK19" i="28"/>
  <c r="BL19" i="28"/>
  <c r="BM19" i="28"/>
  <c r="BN19" i="28"/>
  <c r="BO19" i="28"/>
  <c r="BP19" i="28"/>
  <c r="BQ19" i="28"/>
  <c r="BR19" i="28"/>
  <c r="BS19" i="28"/>
  <c r="BT19" i="28"/>
  <c r="BU19" i="28"/>
  <c r="BV19" i="28"/>
  <c r="BW19" i="28"/>
  <c r="BX19" i="28"/>
  <c r="BY19" i="28"/>
  <c r="BZ19" i="28"/>
  <c r="CA19" i="28"/>
  <c r="CB19" i="28"/>
  <c r="CC19" i="28"/>
  <c r="CD19" i="28"/>
  <c r="CE19" i="28"/>
  <c r="CF19" i="28"/>
  <c r="CG19" i="28"/>
  <c r="CH19" i="28"/>
  <c r="CI19" i="28"/>
  <c r="CJ19" i="28"/>
  <c r="CK19" i="28"/>
  <c r="CL19" i="28"/>
  <c r="CM19" i="28"/>
  <c r="CN19" i="28"/>
  <c r="CO19" i="28"/>
  <c r="CP19" i="28"/>
  <c r="CQ19" i="28"/>
  <c r="CR19" i="28"/>
  <c r="CS19" i="28"/>
  <c r="CT19" i="28"/>
  <c r="CU19" i="28"/>
  <c r="CV19" i="28"/>
  <c r="CW19" i="28"/>
  <c r="CX19" i="28"/>
  <c r="CY19" i="28"/>
  <c r="CZ19" i="28"/>
  <c r="DA19" i="28"/>
  <c r="DB19" i="28"/>
  <c r="DC19" i="28"/>
  <c r="DD19" i="28"/>
  <c r="DE19" i="28"/>
  <c r="DF19" i="28"/>
  <c r="DG19" i="28"/>
  <c r="DH19" i="28"/>
  <c r="DI19" i="28"/>
  <c r="DJ19" i="28"/>
  <c r="DK19" i="28"/>
  <c r="DL19" i="28"/>
  <c r="DM19" i="28"/>
  <c r="DN19" i="28"/>
  <c r="DO19" i="28"/>
  <c r="DP19" i="28"/>
  <c r="DQ19" i="28"/>
  <c r="DR19" i="28"/>
  <c r="DS19" i="28"/>
  <c r="DT19" i="28"/>
  <c r="DU19" i="28"/>
  <c r="DV19" i="28"/>
  <c r="DW19" i="28"/>
  <c r="DX19" i="28"/>
  <c r="DY19" i="28"/>
  <c r="DZ19" i="28"/>
  <c r="EA19" i="28"/>
  <c r="EB19" i="28"/>
  <c r="EC19" i="28"/>
  <c r="ED19" i="28"/>
  <c r="EE19" i="28"/>
  <c r="EF19" i="28"/>
  <c r="EG19" i="28"/>
  <c r="EH19" i="28"/>
  <c r="EI19" i="28"/>
  <c r="EJ19" i="28"/>
  <c r="EK19" i="28"/>
  <c r="EL19" i="28"/>
  <c r="EM19" i="28"/>
  <c r="EN19" i="28"/>
  <c r="EO19" i="28"/>
  <c r="EP19" i="28"/>
  <c r="EQ19" i="28"/>
  <c r="ER19" i="28"/>
  <c r="ES19" i="28"/>
  <c r="ET19" i="28"/>
  <c r="EU19" i="28"/>
  <c r="EV19" i="28"/>
  <c r="EW19" i="28"/>
  <c r="EX19" i="28"/>
  <c r="EY19" i="28"/>
  <c r="EZ19" i="28"/>
  <c r="FA19" i="28"/>
  <c r="FB19" i="28"/>
  <c r="FC19" i="28"/>
  <c r="FD19" i="28"/>
  <c r="FE19" i="28"/>
  <c r="FF19" i="28"/>
  <c r="FG19" i="28"/>
  <c r="FH19" i="28"/>
  <c r="FI19" i="28"/>
  <c r="FJ19" i="28"/>
  <c r="FK19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AY20" i="28"/>
  <c r="AZ20" i="28"/>
  <c r="BA20" i="28"/>
  <c r="BB20" i="28"/>
  <c r="BJ20" i="28"/>
  <c r="BK20" i="28"/>
  <c r="BL20" i="28"/>
  <c r="BM20" i="28"/>
  <c r="BN20" i="28"/>
  <c r="BO20" i="28"/>
  <c r="BP20" i="28"/>
  <c r="BQ20" i="28"/>
  <c r="BR20" i="28"/>
  <c r="BS20" i="28"/>
  <c r="BT20" i="28"/>
  <c r="BU20" i="28"/>
  <c r="BV20" i="28"/>
  <c r="BW20" i="28"/>
  <c r="BX20" i="28"/>
  <c r="BY20" i="28"/>
  <c r="BZ20" i="28"/>
  <c r="CA20" i="28"/>
  <c r="CB20" i="28"/>
  <c r="CC20" i="28"/>
  <c r="CD20" i="28"/>
  <c r="CE20" i="28"/>
  <c r="CF20" i="28"/>
  <c r="CG20" i="28"/>
  <c r="CH20" i="28"/>
  <c r="CI20" i="28"/>
  <c r="CJ20" i="28"/>
  <c r="CK20" i="28"/>
  <c r="CL20" i="28"/>
  <c r="CM20" i="28"/>
  <c r="CN20" i="28"/>
  <c r="CO20" i="28"/>
  <c r="CP20" i="28"/>
  <c r="CQ20" i="28"/>
  <c r="CR20" i="28"/>
  <c r="CS20" i="28"/>
  <c r="CT20" i="28"/>
  <c r="CU20" i="28"/>
  <c r="CV20" i="28"/>
  <c r="CW20" i="28"/>
  <c r="CX20" i="28"/>
  <c r="CY20" i="28"/>
  <c r="CZ20" i="28"/>
  <c r="DA20" i="28"/>
  <c r="DB20" i="28"/>
  <c r="DC20" i="28"/>
  <c r="DD20" i="28"/>
  <c r="DE20" i="28"/>
  <c r="DF20" i="28"/>
  <c r="DG20" i="28"/>
  <c r="DH20" i="28"/>
  <c r="DI20" i="28"/>
  <c r="DJ20" i="28"/>
  <c r="DK20" i="28"/>
  <c r="DL20" i="28"/>
  <c r="DM20" i="28"/>
  <c r="DN20" i="28"/>
  <c r="DO20" i="28"/>
  <c r="DP20" i="28"/>
  <c r="DQ20" i="28"/>
  <c r="DR20" i="28"/>
  <c r="DS20" i="28"/>
  <c r="DT20" i="28"/>
  <c r="DU20" i="28"/>
  <c r="DV20" i="28"/>
  <c r="DW20" i="28"/>
  <c r="DX20" i="28"/>
  <c r="DY20" i="28"/>
  <c r="DZ20" i="28"/>
  <c r="EA20" i="28"/>
  <c r="EB20" i="28"/>
  <c r="EC20" i="28"/>
  <c r="ED20" i="28"/>
  <c r="EE20" i="28"/>
  <c r="EF20" i="28"/>
  <c r="EG20" i="28"/>
  <c r="EH20" i="28"/>
  <c r="EI20" i="28"/>
  <c r="EJ20" i="28"/>
  <c r="EK20" i="28"/>
  <c r="EL20" i="28"/>
  <c r="EM20" i="28"/>
  <c r="EN20" i="28"/>
  <c r="EO20" i="28"/>
  <c r="EP20" i="28"/>
  <c r="EQ20" i="28"/>
  <c r="ER20" i="28"/>
  <c r="ES20" i="28"/>
  <c r="ET20" i="28"/>
  <c r="EU20" i="28"/>
  <c r="EV20" i="28"/>
  <c r="EW20" i="28"/>
  <c r="EX20" i="28"/>
  <c r="EY20" i="28"/>
  <c r="EZ20" i="28"/>
  <c r="FA20" i="28"/>
  <c r="FB20" i="28"/>
  <c r="FC20" i="28"/>
  <c r="FD20" i="28"/>
  <c r="FE20" i="28"/>
  <c r="FF20" i="28"/>
  <c r="FG20" i="28"/>
  <c r="FH20" i="28"/>
  <c r="FI20" i="28"/>
  <c r="FJ20" i="28"/>
  <c r="FK20" i="28"/>
  <c r="FL20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O21" i="28"/>
  <c r="CP21" i="28"/>
  <c r="CQ21" i="28"/>
  <c r="CR21" i="28"/>
  <c r="CS21" i="28"/>
  <c r="CT21" i="28"/>
  <c r="CU21" i="28"/>
  <c r="CV21" i="28"/>
  <c r="CW21" i="28"/>
  <c r="CX21" i="28"/>
  <c r="CY21" i="28"/>
  <c r="CZ21" i="28"/>
  <c r="DA21" i="28"/>
  <c r="DB21" i="28"/>
  <c r="DC21" i="28"/>
  <c r="DD21" i="28"/>
  <c r="DE21" i="28"/>
  <c r="DF21" i="28"/>
  <c r="DG21" i="28"/>
  <c r="DH21" i="28"/>
  <c r="DI21" i="28"/>
  <c r="DJ21" i="28"/>
  <c r="DK21" i="28"/>
  <c r="DL21" i="28"/>
  <c r="DM21" i="28"/>
  <c r="DN21" i="28"/>
  <c r="DO21" i="28"/>
  <c r="DP21" i="28"/>
  <c r="DQ21" i="28"/>
  <c r="DR21" i="28"/>
  <c r="DS21" i="28"/>
  <c r="DT21" i="28"/>
  <c r="DU21" i="28"/>
  <c r="DV21" i="28"/>
  <c r="DW21" i="28"/>
  <c r="DX21" i="28"/>
  <c r="DY21" i="28"/>
  <c r="DZ21" i="28"/>
  <c r="EA21" i="28"/>
  <c r="EB21" i="28"/>
  <c r="EC21" i="28"/>
  <c r="ED21" i="28"/>
  <c r="EE21" i="28"/>
  <c r="EF21" i="28"/>
  <c r="EG21" i="28"/>
  <c r="EH21" i="28"/>
  <c r="EI21" i="28"/>
  <c r="EJ21" i="28"/>
  <c r="EK21" i="28"/>
  <c r="EL21" i="28"/>
  <c r="EM21" i="28"/>
  <c r="EN21" i="28"/>
  <c r="EO21" i="28"/>
  <c r="EP21" i="28"/>
  <c r="EQ21" i="28"/>
  <c r="ER21" i="28"/>
  <c r="ES21" i="28"/>
  <c r="ET21" i="28"/>
  <c r="EU21" i="28"/>
  <c r="EV21" i="28"/>
  <c r="EW21" i="28"/>
  <c r="EX21" i="28"/>
  <c r="EY21" i="28"/>
  <c r="EZ21" i="28"/>
  <c r="FA21" i="28"/>
  <c r="FB21" i="28"/>
  <c r="FC21" i="28"/>
  <c r="FD21" i="28"/>
  <c r="FE21" i="28"/>
  <c r="FF21" i="28"/>
  <c r="FG21" i="28"/>
  <c r="FH21" i="28"/>
  <c r="FI21" i="28"/>
  <c r="FJ21" i="28"/>
  <c r="FK21" i="28"/>
  <c r="FL21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Q22" i="28"/>
  <c r="AR22" i="28"/>
  <c r="AS22" i="28"/>
  <c r="AT22" i="28"/>
  <c r="AU22" i="28"/>
  <c r="AV22" i="28"/>
  <c r="AW22" i="28"/>
  <c r="AX22" i="28"/>
  <c r="AY22" i="28"/>
  <c r="AZ22" i="28"/>
  <c r="BA22" i="28"/>
  <c r="BB22" i="28"/>
  <c r="BJ22" i="28"/>
  <c r="BK22" i="28"/>
  <c r="BL22" i="28"/>
  <c r="BM22" i="28"/>
  <c r="BN22" i="28"/>
  <c r="BO22" i="28"/>
  <c r="BP22" i="28"/>
  <c r="BQ22" i="28"/>
  <c r="BR22" i="28"/>
  <c r="BS22" i="28"/>
  <c r="BT22" i="28"/>
  <c r="BU22" i="28"/>
  <c r="BV22" i="28"/>
  <c r="BW22" i="28"/>
  <c r="BX22" i="28"/>
  <c r="BY22" i="28"/>
  <c r="BZ22" i="28"/>
  <c r="CA22" i="28"/>
  <c r="CB22" i="28"/>
  <c r="CC22" i="28"/>
  <c r="CD22" i="28"/>
  <c r="CE22" i="28"/>
  <c r="CF22" i="28"/>
  <c r="CG22" i="28"/>
  <c r="CH22" i="28"/>
  <c r="CI22" i="28"/>
  <c r="CJ22" i="28"/>
  <c r="CK22" i="28"/>
  <c r="CL22" i="28"/>
  <c r="CM22" i="28"/>
  <c r="CN22" i="28"/>
  <c r="CO22" i="28"/>
  <c r="CP22" i="28"/>
  <c r="CQ22" i="28"/>
  <c r="CR22" i="28"/>
  <c r="CS22" i="28"/>
  <c r="CT22" i="28"/>
  <c r="CU22" i="28"/>
  <c r="CV22" i="28"/>
  <c r="CW22" i="28"/>
  <c r="CX22" i="28"/>
  <c r="CY22" i="28"/>
  <c r="CZ22" i="28"/>
  <c r="DA22" i="28"/>
  <c r="DB22" i="28"/>
  <c r="DC22" i="28"/>
  <c r="DD22" i="28"/>
  <c r="DE22" i="28"/>
  <c r="DF22" i="28"/>
  <c r="DG22" i="28"/>
  <c r="DH22" i="28"/>
  <c r="DI22" i="28"/>
  <c r="DJ22" i="28"/>
  <c r="DK22" i="28"/>
  <c r="DL22" i="28"/>
  <c r="DM22" i="28"/>
  <c r="DN22" i="28"/>
  <c r="DO22" i="28"/>
  <c r="DP22" i="28"/>
  <c r="DQ22" i="28"/>
  <c r="DR22" i="28"/>
  <c r="DS22" i="28"/>
  <c r="DT22" i="28"/>
  <c r="DU22" i="28"/>
  <c r="DV22" i="28"/>
  <c r="DW22" i="28"/>
  <c r="DX22" i="28"/>
  <c r="DY22" i="28"/>
  <c r="DZ22" i="28"/>
  <c r="EA22" i="28"/>
  <c r="EB22" i="28"/>
  <c r="EC22" i="28"/>
  <c r="ED22" i="28"/>
  <c r="EE22" i="28"/>
  <c r="EF22" i="28"/>
  <c r="EG22" i="28"/>
  <c r="EH22" i="28"/>
  <c r="EI22" i="28"/>
  <c r="EJ22" i="28"/>
  <c r="EK22" i="28"/>
  <c r="EL22" i="28"/>
  <c r="EM22" i="28"/>
  <c r="EN22" i="28"/>
  <c r="EO22" i="28"/>
  <c r="EP22" i="28"/>
  <c r="EQ22" i="28"/>
  <c r="ER22" i="28"/>
  <c r="ES22" i="28"/>
  <c r="ET22" i="28"/>
  <c r="EU22" i="28"/>
  <c r="EV22" i="28"/>
  <c r="EW22" i="28"/>
  <c r="EX22" i="28"/>
  <c r="EY22" i="28"/>
  <c r="EZ22" i="28"/>
  <c r="FA22" i="28"/>
  <c r="FB22" i="28"/>
  <c r="FC22" i="28"/>
  <c r="FD22" i="28"/>
  <c r="FE22" i="28"/>
  <c r="FF22" i="28"/>
  <c r="FG22" i="28"/>
  <c r="FH22" i="28"/>
  <c r="FI22" i="28"/>
  <c r="FJ22" i="28"/>
  <c r="FK22" i="28"/>
  <c r="FL22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V23" i="28"/>
  <c r="AW23" i="28"/>
  <c r="AX23" i="28"/>
  <c r="AY23" i="28"/>
  <c r="AZ23" i="28"/>
  <c r="BA23" i="28"/>
  <c r="BB23" i="28"/>
  <c r="BJ23" i="28"/>
  <c r="BK23" i="28"/>
  <c r="BL23" i="28"/>
  <c r="BM23" i="28"/>
  <c r="BN23" i="28"/>
  <c r="BO23" i="28"/>
  <c r="BP23" i="28"/>
  <c r="BQ23" i="28"/>
  <c r="BR23" i="28"/>
  <c r="BS23" i="28"/>
  <c r="BT23" i="28"/>
  <c r="BU23" i="28"/>
  <c r="BV23" i="28"/>
  <c r="BW23" i="28"/>
  <c r="BX23" i="28"/>
  <c r="BY23" i="28"/>
  <c r="BZ23" i="28"/>
  <c r="CA23" i="28"/>
  <c r="CB23" i="28"/>
  <c r="CC23" i="28"/>
  <c r="CD23" i="28"/>
  <c r="CE23" i="28"/>
  <c r="CF23" i="28"/>
  <c r="CG23" i="28"/>
  <c r="CH23" i="28"/>
  <c r="CI23" i="28"/>
  <c r="CJ23" i="28"/>
  <c r="CK23" i="28"/>
  <c r="CL23" i="28"/>
  <c r="CM23" i="28"/>
  <c r="CN23" i="28"/>
  <c r="CO23" i="28"/>
  <c r="CP23" i="28"/>
  <c r="CQ23" i="28"/>
  <c r="CR23" i="28"/>
  <c r="CS23" i="28"/>
  <c r="CT23" i="28"/>
  <c r="CU23" i="28"/>
  <c r="CV23" i="28"/>
  <c r="CW23" i="28"/>
  <c r="CX23" i="28"/>
  <c r="CY23" i="28"/>
  <c r="CZ23" i="28"/>
  <c r="DA23" i="28"/>
  <c r="DB23" i="28"/>
  <c r="DC23" i="28"/>
  <c r="DD23" i="28"/>
  <c r="DE23" i="28"/>
  <c r="DF23" i="28"/>
  <c r="DG23" i="28"/>
  <c r="DH23" i="28"/>
  <c r="DI23" i="28"/>
  <c r="DJ23" i="28"/>
  <c r="DK23" i="28"/>
  <c r="DL23" i="28"/>
  <c r="DM23" i="28"/>
  <c r="DN23" i="28"/>
  <c r="DO23" i="28"/>
  <c r="DP23" i="28"/>
  <c r="DQ23" i="28"/>
  <c r="DR23" i="28"/>
  <c r="DS23" i="28"/>
  <c r="DT23" i="28"/>
  <c r="DU23" i="28"/>
  <c r="DV23" i="28"/>
  <c r="DW23" i="28"/>
  <c r="DX23" i="28"/>
  <c r="DY23" i="28"/>
  <c r="DZ23" i="28"/>
  <c r="EA23" i="28"/>
  <c r="EB23" i="28"/>
  <c r="EC23" i="28"/>
  <c r="ED23" i="28"/>
  <c r="EE23" i="28"/>
  <c r="EF23" i="28"/>
  <c r="EG23" i="28"/>
  <c r="EH23" i="28"/>
  <c r="EI23" i="28"/>
  <c r="EJ23" i="28"/>
  <c r="EK23" i="28"/>
  <c r="EL23" i="28"/>
  <c r="EM23" i="28"/>
  <c r="EN23" i="28"/>
  <c r="EO23" i="28"/>
  <c r="EP23" i="28"/>
  <c r="EQ23" i="28"/>
  <c r="ER23" i="28"/>
  <c r="ES23" i="28"/>
  <c r="ET23" i="28"/>
  <c r="EU23" i="28"/>
  <c r="EV23" i="28"/>
  <c r="EW23" i="28"/>
  <c r="EX23" i="28"/>
  <c r="EY23" i="28"/>
  <c r="EZ23" i="28"/>
  <c r="FA23" i="28"/>
  <c r="FB23" i="28"/>
  <c r="FC23" i="28"/>
  <c r="FD23" i="28"/>
  <c r="FE23" i="28"/>
  <c r="FF23" i="28"/>
  <c r="FG23" i="28"/>
  <c r="FH23" i="28"/>
  <c r="FI23" i="28"/>
  <c r="FJ23" i="28"/>
  <c r="FK23" i="28"/>
  <c r="FL23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O24" i="28"/>
  <c r="CP24" i="28"/>
  <c r="CQ24" i="28"/>
  <c r="CR24" i="28"/>
  <c r="CS24" i="28"/>
  <c r="CT24" i="28"/>
  <c r="CU24" i="28"/>
  <c r="CV24" i="28"/>
  <c r="CW24" i="28"/>
  <c r="CX24" i="28"/>
  <c r="CY24" i="28"/>
  <c r="CZ24" i="28"/>
  <c r="DA24" i="28"/>
  <c r="DB24" i="28"/>
  <c r="DC24" i="28"/>
  <c r="DD24" i="28"/>
  <c r="DE24" i="28"/>
  <c r="DF24" i="28"/>
  <c r="DG24" i="28"/>
  <c r="DH24" i="28"/>
  <c r="DI24" i="28"/>
  <c r="DJ24" i="28"/>
  <c r="DK24" i="28"/>
  <c r="DL24" i="28"/>
  <c r="DM24" i="28"/>
  <c r="DN24" i="28"/>
  <c r="DO24" i="28"/>
  <c r="DP24" i="28"/>
  <c r="DQ24" i="28"/>
  <c r="DR24" i="28"/>
  <c r="DS24" i="28"/>
  <c r="DT24" i="28"/>
  <c r="DU24" i="28"/>
  <c r="DV24" i="28"/>
  <c r="DW24" i="28"/>
  <c r="DX24" i="28"/>
  <c r="DY24" i="28"/>
  <c r="DZ24" i="28"/>
  <c r="EA24" i="28"/>
  <c r="EB24" i="28"/>
  <c r="EC24" i="28"/>
  <c r="ED24" i="28"/>
  <c r="EE24" i="28"/>
  <c r="EF24" i="28"/>
  <c r="EG24" i="28"/>
  <c r="EH24" i="28"/>
  <c r="EI24" i="28"/>
  <c r="EJ24" i="28"/>
  <c r="EK24" i="28"/>
  <c r="EL24" i="28"/>
  <c r="EM24" i="28"/>
  <c r="EN24" i="28"/>
  <c r="EO24" i="28"/>
  <c r="EP24" i="28"/>
  <c r="EQ24" i="28"/>
  <c r="ER24" i="28"/>
  <c r="ES24" i="28"/>
  <c r="ET24" i="28"/>
  <c r="EU24" i="28"/>
  <c r="EV24" i="28"/>
  <c r="EW24" i="28"/>
  <c r="EX24" i="28"/>
  <c r="EY24" i="28"/>
  <c r="EZ24" i="28"/>
  <c r="FA24" i="28"/>
  <c r="FB24" i="28"/>
  <c r="FC24" i="28"/>
  <c r="FD24" i="28"/>
  <c r="FE24" i="28"/>
  <c r="FF24" i="28"/>
  <c r="FG24" i="28"/>
  <c r="FH24" i="28"/>
  <c r="FI24" i="28"/>
  <c r="FJ24" i="28"/>
  <c r="FK24" i="28"/>
  <c r="FL24" i="28"/>
  <c r="L18" i="28"/>
  <c r="L17" i="28"/>
  <c r="J45" i="37" l="1"/>
  <c r="AG45" i="37"/>
  <c r="S16" i="37"/>
  <c r="CA17" i="28"/>
  <c r="BH17" i="28"/>
  <c r="BD17" i="28"/>
  <c r="BE17" i="28"/>
  <c r="BG17" i="28"/>
  <c r="BC17" i="28"/>
  <c r="BF17" i="28"/>
  <c r="Y44" i="28"/>
  <c r="BH44" i="28"/>
  <c r="BD44" i="28"/>
  <c r="BI44" i="28"/>
  <c r="BE44" i="28"/>
  <c r="BG44" i="28"/>
  <c r="BC44" i="28"/>
  <c r="BF44" i="28"/>
  <c r="O44" i="28"/>
  <c r="N18" i="28"/>
  <c r="BF18" i="28"/>
  <c r="BG18" i="28"/>
  <c r="BE18" i="28"/>
  <c r="BC18" i="28"/>
  <c r="BH18" i="28"/>
  <c r="BD18" i="28"/>
  <c r="M18" i="28"/>
  <c r="V45" i="28"/>
  <c r="BF45" i="28"/>
  <c r="BC45" i="28"/>
  <c r="BE45" i="28"/>
  <c r="BI45" i="28"/>
  <c r="BG45" i="28"/>
  <c r="O45" i="28"/>
  <c r="BH45" i="28"/>
  <c r="BD45" i="28"/>
  <c r="AU18" i="31"/>
  <c r="O18" i="31"/>
  <c r="AQ18" i="31"/>
  <c r="K18" i="31"/>
  <c r="M5" i="23"/>
  <c r="Q44" i="37" s="1"/>
  <c r="AG44" i="37" s="1"/>
  <c r="AU24" i="31"/>
  <c r="AM18" i="31"/>
  <c r="M6" i="23"/>
  <c r="Q43" i="37" s="1"/>
  <c r="AG43" i="37" s="1"/>
  <c r="AI18" i="31"/>
  <c r="AE18" i="31"/>
  <c r="W24" i="31"/>
  <c r="AA18" i="31"/>
  <c r="CZ45" i="28"/>
  <c r="M44" i="28"/>
  <c r="DO44" i="28"/>
  <c r="BO44" i="28"/>
  <c r="AX45" i="28"/>
  <c r="M4" i="23"/>
  <c r="Q28" i="37" s="1"/>
  <c r="AG28" i="37" s="1"/>
  <c r="M8" i="23"/>
  <c r="Q46" i="37" s="1"/>
  <c r="K11" i="31"/>
  <c r="O11" i="31"/>
  <c r="S11" i="31"/>
  <c r="W11" i="31"/>
  <c r="AA11" i="31"/>
  <c r="AE11" i="31"/>
  <c r="AI11" i="31"/>
  <c r="AM11" i="31"/>
  <c r="AQ11" i="31"/>
  <c r="AU11" i="31"/>
  <c r="AY11" i="31"/>
  <c r="BC11" i="31"/>
  <c r="H11" i="31"/>
  <c r="L11" i="31"/>
  <c r="P11" i="31"/>
  <c r="T11" i="31"/>
  <c r="X11" i="31"/>
  <c r="AB11" i="31"/>
  <c r="AF11" i="31"/>
  <c r="AJ11" i="31"/>
  <c r="AN11" i="31"/>
  <c r="AR11" i="31"/>
  <c r="AV11" i="31"/>
  <c r="AZ11" i="31"/>
  <c r="BD11" i="31"/>
  <c r="I11" i="31"/>
  <c r="M11" i="31"/>
  <c r="Q11" i="31"/>
  <c r="U11" i="31"/>
  <c r="Y11" i="31"/>
  <c r="AC11" i="31"/>
  <c r="AG11" i="31"/>
  <c r="AK11" i="31"/>
  <c r="AO11" i="31"/>
  <c r="AS11" i="31"/>
  <c r="AW11" i="31"/>
  <c r="BA11" i="31"/>
  <c r="J11" i="31"/>
  <c r="N11" i="31"/>
  <c r="R11" i="31"/>
  <c r="V11" i="31"/>
  <c r="Z11" i="31"/>
  <c r="AD11" i="31"/>
  <c r="AH11" i="31"/>
  <c r="AL11" i="31"/>
  <c r="AP11" i="31"/>
  <c r="AT11" i="31"/>
  <c r="AX11" i="31"/>
  <c r="BB11" i="31"/>
  <c r="AY24" i="31"/>
  <c r="AR24" i="31"/>
  <c r="AJ24" i="31"/>
  <c r="AB24" i="31"/>
  <c r="T24" i="31"/>
  <c r="L24" i="31"/>
  <c r="EX45" i="28"/>
  <c r="EE44" i="28"/>
  <c r="BC24" i="31"/>
  <c r="AW24" i="31"/>
  <c r="AQ24" i="31"/>
  <c r="AI24" i="31"/>
  <c r="AA24" i="31"/>
  <c r="S24" i="31"/>
  <c r="K10" i="31"/>
  <c r="O10" i="31"/>
  <c r="S10" i="31"/>
  <c r="W10" i="31"/>
  <c r="AA10" i="31"/>
  <c r="AE10" i="31"/>
  <c r="AI10" i="31"/>
  <c r="AM10" i="31"/>
  <c r="AQ10" i="31"/>
  <c r="AU10" i="31"/>
  <c r="AY10" i="31"/>
  <c r="BC10" i="31"/>
  <c r="BD10" i="31"/>
  <c r="H10" i="31"/>
  <c r="L10" i="31"/>
  <c r="P10" i="31"/>
  <c r="T10" i="31"/>
  <c r="X10" i="31"/>
  <c r="AB10" i="31"/>
  <c r="AF10" i="31"/>
  <c r="AJ10" i="31"/>
  <c r="AN10" i="31"/>
  <c r="AR10" i="31"/>
  <c r="AV10" i="31"/>
  <c r="AZ10" i="31"/>
  <c r="I10" i="31"/>
  <c r="M10" i="31"/>
  <c r="Q10" i="31"/>
  <c r="U10" i="31"/>
  <c r="Y10" i="31"/>
  <c r="AC10" i="31"/>
  <c r="AG10" i="31"/>
  <c r="AK10" i="31"/>
  <c r="AO10" i="31"/>
  <c r="AS10" i="31"/>
  <c r="AW10" i="31"/>
  <c r="BA10" i="31"/>
  <c r="J10" i="31"/>
  <c r="N10" i="31"/>
  <c r="R10" i="31"/>
  <c r="V10" i="31"/>
  <c r="Z10" i="31"/>
  <c r="AD10" i="31"/>
  <c r="AH10" i="31"/>
  <c r="AL10" i="31"/>
  <c r="AP10" i="31"/>
  <c r="AT10" i="31"/>
  <c r="AX10" i="31"/>
  <c r="BB10" i="31"/>
  <c r="BD24" i="31"/>
  <c r="I24" i="31"/>
  <c r="M24" i="31"/>
  <c r="Q24" i="31"/>
  <c r="U24" i="31"/>
  <c r="Y24" i="31"/>
  <c r="AC24" i="31"/>
  <c r="AG24" i="31"/>
  <c r="AK24" i="31"/>
  <c r="AO24" i="31"/>
  <c r="AS24" i="31"/>
  <c r="J24" i="31"/>
  <c r="N24" i="31"/>
  <c r="R24" i="31"/>
  <c r="V24" i="31"/>
  <c r="Z24" i="31"/>
  <c r="AD24" i="31"/>
  <c r="AH24" i="31"/>
  <c r="AL24" i="31"/>
  <c r="AP24" i="31"/>
  <c r="AT24" i="31"/>
  <c r="AX24" i="31"/>
  <c r="BB24" i="31"/>
  <c r="G24" i="31"/>
  <c r="BA24" i="31"/>
  <c r="AV24" i="31"/>
  <c r="AN24" i="31"/>
  <c r="AF24" i="31"/>
  <c r="X24" i="31"/>
  <c r="P24" i="31"/>
  <c r="H24" i="31"/>
  <c r="CL45" i="28"/>
  <c r="BD13" i="31"/>
  <c r="K13" i="31"/>
  <c r="O13" i="31"/>
  <c r="S13" i="31"/>
  <c r="W13" i="31"/>
  <c r="AA13" i="31"/>
  <c r="AE13" i="31"/>
  <c r="AI13" i="31"/>
  <c r="AM13" i="31"/>
  <c r="AQ13" i="31"/>
  <c r="AU13" i="31"/>
  <c r="AY13" i="31"/>
  <c r="BC13" i="31"/>
  <c r="H13" i="31"/>
  <c r="L13" i="31"/>
  <c r="P13" i="31"/>
  <c r="T13" i="31"/>
  <c r="X13" i="31"/>
  <c r="AB13" i="31"/>
  <c r="AF13" i="31"/>
  <c r="AJ13" i="31"/>
  <c r="AN13" i="31"/>
  <c r="AR13" i="31"/>
  <c r="AV13" i="31"/>
  <c r="AZ13" i="31"/>
  <c r="I13" i="31"/>
  <c r="M13" i="31"/>
  <c r="Q13" i="31"/>
  <c r="U13" i="31"/>
  <c r="Y13" i="31"/>
  <c r="AC13" i="31"/>
  <c r="AG13" i="31"/>
  <c r="AK13" i="31"/>
  <c r="AO13" i="31"/>
  <c r="AS13" i="31"/>
  <c r="AW13" i="31"/>
  <c r="BA13" i="31"/>
  <c r="J13" i="31"/>
  <c r="N13" i="31"/>
  <c r="R13" i="31"/>
  <c r="V13" i="31"/>
  <c r="Z13" i="31"/>
  <c r="AD13" i="31"/>
  <c r="AH13" i="31"/>
  <c r="AL13" i="31"/>
  <c r="AP13" i="31"/>
  <c r="AT13" i="31"/>
  <c r="AX13" i="31"/>
  <c r="BB13" i="31"/>
  <c r="G13" i="31"/>
  <c r="BE20" i="31"/>
  <c r="BF20" i="31" s="1"/>
  <c r="G18" i="31"/>
  <c r="BB18" i="31"/>
  <c r="AX18" i="31"/>
  <c r="AT18" i="31"/>
  <c r="AP18" i="31"/>
  <c r="AL18" i="31"/>
  <c r="AH18" i="31"/>
  <c r="AD18" i="31"/>
  <c r="Z18" i="31"/>
  <c r="V18" i="31"/>
  <c r="R18" i="31"/>
  <c r="N18" i="31"/>
  <c r="J18" i="31"/>
  <c r="BB9" i="31"/>
  <c r="AX9" i="31"/>
  <c r="AT9" i="31"/>
  <c r="AP9" i="31"/>
  <c r="AL9" i="31"/>
  <c r="AH9" i="31"/>
  <c r="AD9" i="31"/>
  <c r="Z9" i="31"/>
  <c r="V9" i="31"/>
  <c r="R9" i="31"/>
  <c r="N9" i="31"/>
  <c r="J9" i="31"/>
  <c r="BA18" i="31"/>
  <c r="AW18" i="31"/>
  <c r="AS18" i="31"/>
  <c r="AO18" i="31"/>
  <c r="AK18" i="31"/>
  <c r="AG18" i="31"/>
  <c r="AC18" i="31"/>
  <c r="Y18" i="31"/>
  <c r="U18" i="31"/>
  <c r="Q18" i="31"/>
  <c r="M18" i="31"/>
  <c r="I18" i="31"/>
  <c r="BA9" i="31"/>
  <c r="AW9" i="31"/>
  <c r="AS9" i="31"/>
  <c r="AO9" i="31"/>
  <c r="AK9" i="31"/>
  <c r="AG9" i="31"/>
  <c r="AC9" i="31"/>
  <c r="Y9" i="31"/>
  <c r="U9" i="31"/>
  <c r="Q9" i="31"/>
  <c r="M9" i="31"/>
  <c r="I9" i="31"/>
  <c r="AZ18" i="31"/>
  <c r="AV18" i="31"/>
  <c r="AR18" i="31"/>
  <c r="AN18" i="31"/>
  <c r="AJ18" i="31"/>
  <c r="AF18" i="31"/>
  <c r="AB18" i="31"/>
  <c r="X18" i="31"/>
  <c r="T18" i="31"/>
  <c r="P18" i="31"/>
  <c r="L18" i="31"/>
  <c r="H18" i="31"/>
  <c r="AZ9" i="31"/>
  <c r="AV9" i="31"/>
  <c r="AR9" i="31"/>
  <c r="AN9" i="31"/>
  <c r="AJ9" i="31"/>
  <c r="AF9" i="31"/>
  <c r="AB9" i="31"/>
  <c r="X9" i="31"/>
  <c r="T9" i="31"/>
  <c r="P9" i="31"/>
  <c r="L9" i="31"/>
  <c r="H9" i="31"/>
  <c r="BC9" i="31"/>
  <c r="AY9" i="31"/>
  <c r="AU9" i="31"/>
  <c r="AQ9" i="31"/>
  <c r="AM9" i="31"/>
  <c r="AI9" i="31"/>
  <c r="AE9" i="31"/>
  <c r="AA9" i="31"/>
  <c r="W9" i="31"/>
  <c r="S9" i="31"/>
  <c r="O9" i="31"/>
  <c r="K9" i="31"/>
  <c r="BE21" i="31"/>
  <c r="BF21" i="31" s="1"/>
  <c r="U10" i="2" s="1"/>
  <c r="BE14" i="31"/>
  <c r="BF14" i="31" s="1"/>
  <c r="BE22" i="31"/>
  <c r="BF22" i="31" s="1"/>
  <c r="U11" i="2" s="1"/>
  <c r="BE8" i="31"/>
  <c r="BF8" i="31" s="1"/>
  <c r="BE16" i="31"/>
  <c r="BF16" i="31" s="1"/>
  <c r="BE23" i="31"/>
  <c r="BF23" i="31" s="1"/>
  <c r="U6" i="2" s="1"/>
  <c r="BE15" i="31"/>
  <c r="BF15" i="31" s="1"/>
  <c r="BE17" i="31"/>
  <c r="BF17" i="31" s="1"/>
  <c r="S40" i="37" s="1"/>
  <c r="BE25" i="31"/>
  <c r="BF25" i="31" s="1"/>
  <c r="U14" i="2" s="1"/>
  <c r="BE26" i="31"/>
  <c r="BF26" i="31" s="1"/>
  <c r="U16" i="2" s="1"/>
  <c r="FL45" i="28"/>
  <c r="BM45" i="28"/>
  <c r="CE44" i="28"/>
  <c r="DD18" i="28"/>
  <c r="EL45" i="28"/>
  <c r="AF45" i="28"/>
  <c r="AX44" i="28"/>
  <c r="AR18" i="28"/>
  <c r="DY45" i="28"/>
  <c r="N45" i="28"/>
  <c r="AH44" i="28"/>
  <c r="DM45" i="28"/>
  <c r="EW44" i="28"/>
  <c r="Q44" i="28"/>
  <c r="BZ45" i="28"/>
  <c r="CX44" i="28"/>
  <c r="DT18" i="28"/>
  <c r="DL18" i="28"/>
  <c r="AZ18" i="28"/>
  <c r="M45" i="28"/>
  <c r="FA45" i="28"/>
  <c r="EN45" i="28"/>
  <c r="DZ45" i="28"/>
  <c r="DN45" i="28"/>
  <c r="DA45" i="28"/>
  <c r="CO45" i="28"/>
  <c r="CB45" i="28"/>
  <c r="BN45" i="28"/>
  <c r="AY45" i="28"/>
  <c r="AH45" i="28"/>
  <c r="R45" i="28"/>
  <c r="EY44" i="28"/>
  <c r="EG44" i="28"/>
  <c r="DQ44" i="28"/>
  <c r="CY44" i="28"/>
  <c r="CI44" i="28"/>
  <c r="BR44" i="28"/>
  <c r="AY44" i="28"/>
  <c r="AI44" i="28"/>
  <c r="R44" i="28"/>
  <c r="FH18" i="28"/>
  <c r="CV18" i="28"/>
  <c r="FJ45" i="28"/>
  <c r="EW45" i="28"/>
  <c r="EK45" i="28"/>
  <c r="DX45" i="28"/>
  <c r="DJ45" i="28"/>
  <c r="CX45" i="28"/>
  <c r="CK45" i="28"/>
  <c r="BY45" i="28"/>
  <c r="BL45" i="28"/>
  <c r="AT45" i="28"/>
  <c r="AD45" i="28"/>
  <c r="FK44" i="28"/>
  <c r="EU44" i="28"/>
  <c r="ED44" i="28"/>
  <c r="DK44" i="28"/>
  <c r="CU44" i="28"/>
  <c r="CD44" i="28"/>
  <c r="BN44" i="28"/>
  <c r="AW44" i="28"/>
  <c r="AD44" i="28"/>
  <c r="N44" i="28"/>
  <c r="AJ18" i="28"/>
  <c r="EZ18" i="28"/>
  <c r="CN18" i="28"/>
  <c r="AB18" i="28"/>
  <c r="FI45" i="28"/>
  <c r="EV45" i="28"/>
  <c r="EH45" i="28"/>
  <c r="DV45" i="28"/>
  <c r="DI45" i="28"/>
  <c r="CW45" i="28"/>
  <c r="CJ45" i="28"/>
  <c r="BV45" i="28"/>
  <c r="BJ45" i="28"/>
  <c r="AR45" i="28"/>
  <c r="AB45" i="28"/>
  <c r="FJ44" i="28"/>
  <c r="EQ44" i="28"/>
  <c r="EA44" i="28"/>
  <c r="DJ44" i="28"/>
  <c r="CT44" i="28"/>
  <c r="CC44" i="28"/>
  <c r="BJ44" i="28"/>
  <c r="AT44" i="28"/>
  <c r="AC44" i="28"/>
  <c r="ER18" i="28"/>
  <c r="CF18" i="28"/>
  <c r="T18" i="28"/>
  <c r="FF45" i="28"/>
  <c r="ET45" i="28"/>
  <c r="EG45" i="28"/>
  <c r="DU45" i="28"/>
  <c r="DH45" i="28"/>
  <c r="CT45" i="28"/>
  <c r="CH45" i="28"/>
  <c r="BU45" i="28"/>
  <c r="AQ45" i="28"/>
  <c r="X45" i="28"/>
  <c r="FG44" i="28"/>
  <c r="EP44" i="28"/>
  <c r="DZ44" i="28"/>
  <c r="DI44" i="28"/>
  <c r="CP44" i="28"/>
  <c r="BZ44" i="28"/>
  <c r="AS44" i="28"/>
  <c r="AA44" i="28"/>
  <c r="EJ18" i="28"/>
  <c r="BX18" i="28"/>
  <c r="EM17" i="28"/>
  <c r="FE45" i="28"/>
  <c r="ES45" i="28"/>
  <c r="EF45" i="28"/>
  <c r="DR45" i="28"/>
  <c r="DF45" i="28"/>
  <c r="CS45" i="28"/>
  <c r="CG45" i="28"/>
  <c r="BT45" i="28"/>
  <c r="AN45" i="28"/>
  <c r="W45" i="28"/>
  <c r="FF44" i="28"/>
  <c r="EO44" i="28"/>
  <c r="DV44" i="28"/>
  <c r="DF44" i="28"/>
  <c r="CO44" i="28"/>
  <c r="BY44" i="28"/>
  <c r="AO44" i="28"/>
  <c r="EB18" i="28"/>
  <c r="BP18" i="28"/>
  <c r="P44" i="28"/>
  <c r="X44" i="28"/>
  <c r="AF44" i="28"/>
  <c r="AN44" i="28"/>
  <c r="AV44" i="28"/>
  <c r="BL44" i="28"/>
  <c r="BT44" i="28"/>
  <c r="CB44" i="28"/>
  <c r="CJ44" i="28"/>
  <c r="CR44" i="28"/>
  <c r="CZ44" i="28"/>
  <c r="DH44" i="28"/>
  <c r="DP44" i="28"/>
  <c r="DX44" i="28"/>
  <c r="EF44" i="28"/>
  <c r="EN44" i="28"/>
  <c r="EV44" i="28"/>
  <c r="FD44" i="28"/>
  <c r="FL44" i="28"/>
  <c r="T44" i="28"/>
  <c r="AB44" i="28"/>
  <c r="AJ44" i="28"/>
  <c r="AR44" i="28"/>
  <c r="AZ44" i="28"/>
  <c r="BP44" i="28"/>
  <c r="BX44" i="28"/>
  <c r="CF44" i="28"/>
  <c r="CN44" i="28"/>
  <c r="CV44" i="28"/>
  <c r="DD44" i="28"/>
  <c r="DL44" i="28"/>
  <c r="DT44" i="28"/>
  <c r="EB44" i="28"/>
  <c r="EJ44" i="28"/>
  <c r="ER44" i="28"/>
  <c r="EZ44" i="28"/>
  <c r="FH44" i="28"/>
  <c r="U44" i="28"/>
  <c r="AE44" i="28"/>
  <c r="AP44" i="28"/>
  <c r="BA44" i="28"/>
  <c r="BK44" i="28"/>
  <c r="BV44" i="28"/>
  <c r="CG44" i="28"/>
  <c r="CQ44" i="28"/>
  <c r="DB44" i="28"/>
  <c r="DM44" i="28"/>
  <c r="DW44" i="28"/>
  <c r="EH44" i="28"/>
  <c r="ES44" i="28"/>
  <c r="FC44" i="28"/>
  <c r="V44" i="28"/>
  <c r="AG44" i="28"/>
  <c r="AQ44" i="28"/>
  <c r="BB44" i="28"/>
  <c r="BM44" i="28"/>
  <c r="BW44" i="28"/>
  <c r="CH44" i="28"/>
  <c r="CS44" i="28"/>
  <c r="DC44" i="28"/>
  <c r="DN44" i="28"/>
  <c r="DY44" i="28"/>
  <c r="EI44" i="28"/>
  <c r="ET44" i="28"/>
  <c r="FE44" i="28"/>
  <c r="Z44" i="28"/>
  <c r="AK44" i="28"/>
  <c r="AU44" i="28"/>
  <c r="BQ44" i="28"/>
  <c r="CA44" i="28"/>
  <c r="CL44" i="28"/>
  <c r="CW44" i="28"/>
  <c r="DG44" i="28"/>
  <c r="DR44" i="28"/>
  <c r="EC44" i="28"/>
  <c r="EM44" i="28"/>
  <c r="EX44" i="28"/>
  <c r="FI44" i="28"/>
  <c r="FD45" i="28"/>
  <c r="EP45" i="28"/>
  <c r="ED45" i="28"/>
  <c r="DQ45" i="28"/>
  <c r="DE45" i="28"/>
  <c r="CR45" i="28"/>
  <c r="CD45" i="28"/>
  <c r="BR45" i="28"/>
  <c r="AM45" i="28"/>
  <c r="FB44" i="28"/>
  <c r="EL44" i="28"/>
  <c r="DU44" i="28"/>
  <c r="DE44" i="28"/>
  <c r="CM44" i="28"/>
  <c r="BU44" i="28"/>
  <c r="AM44" i="28"/>
  <c r="W44" i="28"/>
  <c r="U45" i="28"/>
  <c r="AC45" i="28"/>
  <c r="AK45" i="28"/>
  <c r="AS45" i="28"/>
  <c r="BA45" i="28"/>
  <c r="Q45" i="28"/>
  <c r="Y45" i="28"/>
  <c r="AG45" i="28"/>
  <c r="AO45" i="28"/>
  <c r="AW45" i="28"/>
  <c r="Z45" i="28"/>
  <c r="AJ45" i="28"/>
  <c r="AU45" i="28"/>
  <c r="BO45" i="28"/>
  <c r="BW45" i="28"/>
  <c r="CE45" i="28"/>
  <c r="CM45" i="28"/>
  <c r="CU45" i="28"/>
  <c r="DC45" i="28"/>
  <c r="DK45" i="28"/>
  <c r="DS45" i="28"/>
  <c r="EA45" i="28"/>
  <c r="EI45" i="28"/>
  <c r="EQ45" i="28"/>
  <c r="EY45" i="28"/>
  <c r="FG45" i="28"/>
  <c r="P45" i="28"/>
  <c r="AA45" i="28"/>
  <c r="AL45" i="28"/>
  <c r="AV45" i="28"/>
  <c r="BP45" i="28"/>
  <c r="BX45" i="28"/>
  <c r="CF45" i="28"/>
  <c r="CN45" i="28"/>
  <c r="CV45" i="28"/>
  <c r="DD45" i="28"/>
  <c r="DL45" i="28"/>
  <c r="DT45" i="28"/>
  <c r="EB45" i="28"/>
  <c r="EJ45" i="28"/>
  <c r="ER45" i="28"/>
  <c r="EZ45" i="28"/>
  <c r="FH45" i="28"/>
  <c r="T45" i="28"/>
  <c r="AE45" i="28"/>
  <c r="AP45" i="28"/>
  <c r="AZ45" i="28"/>
  <c r="BK45" i="28"/>
  <c r="BS45" i="28"/>
  <c r="CA45" i="28"/>
  <c r="CI45" i="28"/>
  <c r="CQ45" i="28"/>
  <c r="CY45" i="28"/>
  <c r="DG45" i="28"/>
  <c r="DO45" i="28"/>
  <c r="DW45" i="28"/>
  <c r="EE45" i="28"/>
  <c r="EM45" i="28"/>
  <c r="EU45" i="28"/>
  <c r="FC45" i="28"/>
  <c r="FK45" i="28"/>
  <c r="FB45" i="28"/>
  <c r="EO45" i="28"/>
  <c r="EC45" i="28"/>
  <c r="DP45" i="28"/>
  <c r="DB45" i="28"/>
  <c r="CP45" i="28"/>
  <c r="CC45" i="28"/>
  <c r="BQ45" i="28"/>
  <c r="BB45" i="28"/>
  <c r="AI45" i="28"/>
  <c r="S45" i="28"/>
  <c r="FA44" i="28"/>
  <c r="EK44" i="28"/>
  <c r="DS44" i="28"/>
  <c r="DA44" i="28"/>
  <c r="CK44" i="28"/>
  <c r="BS44" i="28"/>
  <c r="AL44" i="28"/>
  <c r="S44" i="28"/>
  <c r="T17" i="28"/>
  <c r="AB17" i="28"/>
  <c r="AJ17" i="28"/>
  <c r="AR17" i="28"/>
  <c r="AZ17" i="28"/>
  <c r="BP17" i="28"/>
  <c r="U17" i="28"/>
  <c r="AC17" i="28"/>
  <c r="AK17" i="28"/>
  <c r="AS17" i="28"/>
  <c r="BA17" i="28"/>
  <c r="BQ17" i="28"/>
  <c r="X17" i="28"/>
  <c r="AF17" i="28"/>
  <c r="AN17" i="28"/>
  <c r="AV17" i="28"/>
  <c r="BL17" i="28"/>
  <c r="BT17" i="28"/>
  <c r="V17" i="28"/>
  <c r="AH17" i="28"/>
  <c r="AU17" i="28"/>
  <c r="BU17" i="28"/>
  <c r="CC17" i="28"/>
  <c r="CK17" i="28"/>
  <c r="CS17" i="28"/>
  <c r="DA17" i="28"/>
  <c r="DI17" i="28"/>
  <c r="DQ17" i="28"/>
  <c r="DY17" i="28"/>
  <c r="EG17" i="28"/>
  <c r="EO17" i="28"/>
  <c r="EW17" i="28"/>
  <c r="FE17" i="28"/>
  <c r="W17" i="28"/>
  <c r="AI17" i="28"/>
  <c r="AW17" i="28"/>
  <c r="BJ17" i="28"/>
  <c r="BV17" i="28"/>
  <c r="CD17" i="28"/>
  <c r="CL17" i="28"/>
  <c r="CT17" i="28"/>
  <c r="DB17" i="28"/>
  <c r="DJ17" i="28"/>
  <c r="DR17" i="28"/>
  <c r="DZ17" i="28"/>
  <c r="EH17" i="28"/>
  <c r="EP17" i="28"/>
  <c r="EX17" i="28"/>
  <c r="FF17" i="28"/>
  <c r="Y17" i="28"/>
  <c r="AL17" i="28"/>
  <c r="AX17" i="28"/>
  <c r="BK17" i="28"/>
  <c r="BW17" i="28"/>
  <c r="CE17" i="28"/>
  <c r="CM17" i="28"/>
  <c r="CU17" i="28"/>
  <c r="DC17" i="28"/>
  <c r="DK17" i="28"/>
  <c r="DS17" i="28"/>
  <c r="EA17" i="28"/>
  <c r="EI17" i="28"/>
  <c r="EQ17" i="28"/>
  <c r="EY17" i="28"/>
  <c r="FG17" i="28"/>
  <c r="N17" i="28"/>
  <c r="Z17" i="28"/>
  <c r="AM17" i="28"/>
  <c r="AY17" i="28"/>
  <c r="BM17" i="28"/>
  <c r="BX17" i="28"/>
  <c r="CF17" i="28"/>
  <c r="CN17" i="28"/>
  <c r="CV17" i="28"/>
  <c r="DD17" i="28"/>
  <c r="DL17" i="28"/>
  <c r="DT17" i="28"/>
  <c r="EB17" i="28"/>
  <c r="EJ17" i="28"/>
  <c r="ER17" i="28"/>
  <c r="EZ17" i="28"/>
  <c r="FH17" i="28"/>
  <c r="AA17" i="28"/>
  <c r="AO17" i="28"/>
  <c r="BB17" i="28"/>
  <c r="BN17" i="28"/>
  <c r="BY17" i="28"/>
  <c r="CG17" i="28"/>
  <c r="CO17" i="28"/>
  <c r="CW17" i="28"/>
  <c r="DE17" i="28"/>
  <c r="DM17" i="28"/>
  <c r="DU17" i="28"/>
  <c r="EC17" i="28"/>
  <c r="EK17" i="28"/>
  <c r="ES17" i="28"/>
  <c r="FA17" i="28"/>
  <c r="FI17" i="28"/>
  <c r="Q17" i="28"/>
  <c r="AD17" i="28"/>
  <c r="AP17" i="28"/>
  <c r="BO17" i="28"/>
  <c r="BZ17" i="28"/>
  <c r="CH17" i="28"/>
  <c r="CP17" i="28"/>
  <c r="CX17" i="28"/>
  <c r="DF17" i="28"/>
  <c r="DN17" i="28"/>
  <c r="DV17" i="28"/>
  <c r="ED17" i="28"/>
  <c r="EL17" i="28"/>
  <c r="ET17" i="28"/>
  <c r="FB17" i="28"/>
  <c r="FJ17" i="28"/>
  <c r="S17" i="28"/>
  <c r="AG17" i="28"/>
  <c r="AT17" i="28"/>
  <c r="BS17" i="28"/>
  <c r="CB17" i="28"/>
  <c r="CJ17" i="28"/>
  <c r="CR17" i="28"/>
  <c r="CZ17" i="28"/>
  <c r="DH17" i="28"/>
  <c r="DP17" i="28"/>
  <c r="DX17" i="28"/>
  <c r="EF17" i="28"/>
  <c r="EN17" i="28"/>
  <c r="EV17" i="28"/>
  <c r="FD17" i="28"/>
  <c r="FL17" i="28"/>
  <c r="FC17" i="28"/>
  <c r="CQ17" i="28"/>
  <c r="M17" i="28"/>
  <c r="EU17" i="28"/>
  <c r="CI17" i="28"/>
  <c r="DW17" i="28"/>
  <c r="EE17" i="28"/>
  <c r="BR17" i="28"/>
  <c r="DO17" i="28"/>
  <c r="AQ17" i="28"/>
  <c r="DG17" i="28"/>
  <c r="AE17" i="28"/>
  <c r="FK17" i="28"/>
  <c r="CY17" i="28"/>
  <c r="R17" i="28"/>
  <c r="FI18" i="28"/>
  <c r="FA18" i="28"/>
  <c r="ES18" i="28"/>
  <c r="EK18" i="28"/>
  <c r="EC18" i="28"/>
  <c r="DU18" i="28"/>
  <c r="DM18" i="28"/>
  <c r="DE18" i="28"/>
  <c r="CW18" i="28"/>
  <c r="CO18" i="28"/>
  <c r="CG18" i="28"/>
  <c r="BY18" i="28"/>
  <c r="BQ18" i="28"/>
  <c r="BA18" i="28"/>
  <c r="AS18" i="28"/>
  <c r="AK18" i="28"/>
  <c r="AC18" i="28"/>
  <c r="U18" i="28"/>
  <c r="FG18" i="28"/>
  <c r="EY18" i="28"/>
  <c r="EQ18" i="28"/>
  <c r="EI18" i="28"/>
  <c r="EA18" i="28"/>
  <c r="DS18" i="28"/>
  <c r="DK18" i="28"/>
  <c r="DC18" i="28"/>
  <c r="CU18" i="28"/>
  <c r="CM18" i="28"/>
  <c r="CE18" i="28"/>
  <c r="BW18" i="28"/>
  <c r="BO18" i="28"/>
  <c r="AY18" i="28"/>
  <c r="AQ18" i="28"/>
  <c r="AI18" i="28"/>
  <c r="AA18" i="28"/>
  <c r="S18" i="28"/>
  <c r="FF18" i="28"/>
  <c r="EX18" i="28"/>
  <c r="EP18" i="28"/>
  <c r="EH18" i="28"/>
  <c r="DZ18" i="28"/>
  <c r="DR18" i="28"/>
  <c r="DJ18" i="28"/>
  <c r="DB18" i="28"/>
  <c r="CT18" i="28"/>
  <c r="CL18" i="28"/>
  <c r="CD18" i="28"/>
  <c r="BV18" i="28"/>
  <c r="BN18" i="28"/>
  <c r="AX18" i="28"/>
  <c r="AP18" i="28"/>
  <c r="AH18" i="28"/>
  <c r="Z18" i="28"/>
  <c r="R18" i="28"/>
  <c r="FE18" i="28"/>
  <c r="EW18" i="28"/>
  <c r="EO18" i="28"/>
  <c r="EG18" i="28"/>
  <c r="DY18" i="28"/>
  <c r="DQ18" i="28"/>
  <c r="DI18" i="28"/>
  <c r="DA18" i="28"/>
  <c r="CS18" i="28"/>
  <c r="CK18" i="28"/>
  <c r="CC18" i="28"/>
  <c r="BU18" i="28"/>
  <c r="BM18" i="28"/>
  <c r="AW18" i="28"/>
  <c r="AO18" i="28"/>
  <c r="AG18" i="28"/>
  <c r="Y18" i="28"/>
  <c r="Q18" i="28"/>
  <c r="FL18" i="28"/>
  <c r="FD18" i="28"/>
  <c r="EV18" i="28"/>
  <c r="EN18" i="28"/>
  <c r="EF18" i="28"/>
  <c r="DX18" i="28"/>
  <c r="DP18" i="28"/>
  <c r="DH18" i="28"/>
  <c r="CZ18" i="28"/>
  <c r="CR18" i="28"/>
  <c r="CJ18" i="28"/>
  <c r="CB18" i="28"/>
  <c r="BT18" i="28"/>
  <c r="BL18" i="28"/>
  <c r="AV18" i="28"/>
  <c r="AN18" i="28"/>
  <c r="AF18" i="28"/>
  <c r="X18" i="28"/>
  <c r="FK18" i="28"/>
  <c r="FC18" i="28"/>
  <c r="EU18" i="28"/>
  <c r="EM18" i="28"/>
  <c r="EE18" i="28"/>
  <c r="DW18" i="28"/>
  <c r="DO18" i="28"/>
  <c r="DG18" i="28"/>
  <c r="CY18" i="28"/>
  <c r="CQ18" i="28"/>
  <c r="CI18" i="28"/>
  <c r="CA18" i="28"/>
  <c r="BS18" i="28"/>
  <c r="BK18" i="28"/>
  <c r="AU18" i="28"/>
  <c r="AM18" i="28"/>
  <c r="AE18" i="28"/>
  <c r="W18" i="28"/>
  <c r="FJ18" i="28"/>
  <c r="FB18" i="28"/>
  <c r="ET18" i="28"/>
  <c r="EL18" i="28"/>
  <c r="ED18" i="28"/>
  <c r="DV18" i="28"/>
  <c r="DN18" i="28"/>
  <c r="DF18" i="28"/>
  <c r="CX18" i="28"/>
  <c r="CP18" i="28"/>
  <c r="CH18" i="28"/>
  <c r="BZ18" i="28"/>
  <c r="BR18" i="28"/>
  <c r="BJ18" i="28"/>
  <c r="BB18" i="28"/>
  <c r="AT18" i="28"/>
  <c r="AL18" i="28"/>
  <c r="AD18" i="28"/>
  <c r="V18" i="28"/>
  <c r="J46" i="37" l="1"/>
  <c r="AG46" i="37"/>
  <c r="AI16" i="37"/>
  <c r="AI40" i="37"/>
  <c r="J40" i="37"/>
  <c r="S30" i="37"/>
  <c r="S22" i="37"/>
  <c r="S158" i="37"/>
  <c r="BE13" i="31"/>
  <c r="BF13" i="31" s="1"/>
  <c r="BE9" i="31"/>
  <c r="BF9" i="31" s="1"/>
  <c r="BE18" i="31"/>
  <c r="BF18" i="31" s="1"/>
  <c r="BE24" i="31"/>
  <c r="BF24" i="31" s="1"/>
  <c r="U13" i="2" s="1"/>
  <c r="FM17" i="28"/>
  <c r="FN17" i="28" s="1"/>
  <c r="O35" i="37" s="1"/>
  <c r="AE35" i="37" s="1"/>
  <c r="FM18" i="28"/>
  <c r="FN18" i="28" s="1"/>
  <c r="O34" i="37" s="1"/>
  <c r="AE34" i="37" s="1"/>
  <c r="AI30" i="37" l="1"/>
  <c r="J30" i="37"/>
  <c r="AI22" i="37"/>
  <c r="J22" i="37"/>
  <c r="AI158" i="37"/>
  <c r="J158" i="37"/>
  <c r="F9" i="3"/>
  <c r="E9" i="3"/>
  <c r="G98" i="11"/>
  <c r="F97" i="11"/>
  <c r="G97" i="11" s="1"/>
  <c r="G96" i="11"/>
  <c r="G95" i="11"/>
  <c r="G94" i="11"/>
  <c r="G93" i="11"/>
  <c r="G92" i="11"/>
  <c r="G91" i="11"/>
  <c r="G90" i="11"/>
  <c r="G89" i="11"/>
  <c r="G88" i="11"/>
  <c r="G87" i="11"/>
  <c r="F86" i="11"/>
  <c r="G86" i="11" s="1"/>
  <c r="G85" i="11"/>
  <c r="F85" i="11"/>
  <c r="F84" i="11"/>
  <c r="G84" i="11" s="1"/>
  <c r="G83" i="11"/>
  <c r="G82" i="11"/>
  <c r="E82" i="11"/>
  <c r="G79" i="11"/>
  <c r="G78" i="11"/>
  <c r="G77" i="11"/>
  <c r="G76" i="11"/>
  <c r="G75" i="11"/>
  <c r="F74" i="11"/>
  <c r="G74" i="11" s="1"/>
  <c r="F73" i="11"/>
  <c r="G73" i="11" s="1"/>
  <c r="E73" i="11"/>
  <c r="F72" i="11"/>
  <c r="G72" i="11" s="1"/>
  <c r="G65" i="11"/>
  <c r="F64" i="11"/>
  <c r="G64" i="11" s="1"/>
  <c r="G63" i="11"/>
  <c r="G62" i="11"/>
  <c r="G61" i="11"/>
  <c r="G60" i="11"/>
  <c r="G59" i="11"/>
  <c r="G58" i="11"/>
  <c r="G57" i="11"/>
  <c r="G56" i="11"/>
  <c r="G55" i="11"/>
  <c r="G54" i="11"/>
  <c r="F53" i="11"/>
  <c r="G53" i="11" s="1"/>
  <c r="F52" i="11"/>
  <c r="G52" i="11" s="1"/>
  <c r="F51" i="11"/>
  <c r="G51" i="11" s="1"/>
  <c r="G50" i="11"/>
  <c r="G49" i="11"/>
  <c r="E49" i="11"/>
  <c r="G46" i="11"/>
  <c r="G45" i="11"/>
  <c r="G44" i="11"/>
  <c r="G43" i="11"/>
  <c r="G42" i="11"/>
  <c r="F41" i="11"/>
  <c r="G41" i="11" s="1"/>
  <c r="F40" i="11"/>
  <c r="G40" i="11" s="1"/>
  <c r="E40" i="11"/>
  <c r="F39" i="11"/>
  <c r="G39" i="11" s="1"/>
  <c r="H10" i="27" l="1"/>
  <c r="G32" i="11" l="1"/>
  <c r="G30" i="11"/>
  <c r="G29" i="11"/>
  <c r="G28" i="11"/>
  <c r="G27" i="11"/>
  <c r="G26" i="11"/>
  <c r="G25" i="11"/>
  <c r="G24" i="11"/>
  <c r="G23" i="11"/>
  <c r="G22" i="11"/>
  <c r="G21" i="11"/>
  <c r="G17" i="11"/>
  <c r="N19" i="11" s="1"/>
  <c r="G16" i="11"/>
  <c r="G13" i="11"/>
  <c r="G12" i="11"/>
  <c r="G9" i="11"/>
  <c r="M69" i="37" l="1"/>
  <c r="G27" i="3"/>
  <c r="N29" i="3" s="1"/>
  <c r="P13" i="2" s="1"/>
  <c r="G26" i="3"/>
  <c r="G24" i="3"/>
  <c r="G23" i="3"/>
  <c r="G22" i="3"/>
  <c r="G21" i="3"/>
  <c r="G20" i="3"/>
  <c r="G18" i="3"/>
  <c r="G16" i="3"/>
  <c r="G15" i="3"/>
  <c r="G14" i="3"/>
  <c r="G13" i="3"/>
  <c r="G12" i="3"/>
  <c r="F6" i="11"/>
  <c r="G6" i="11" s="1"/>
  <c r="AC69" i="37" l="1"/>
  <c r="J69" i="37"/>
  <c r="N12" i="3"/>
  <c r="N35" i="37" s="1"/>
  <c r="AD35" i="37" s="1"/>
  <c r="N17" i="3"/>
  <c r="N33" i="37" s="1"/>
  <c r="AD33" i="37" s="1"/>
  <c r="N13" i="3"/>
  <c r="N34" i="37" s="1"/>
  <c r="AD34" i="37" s="1"/>
  <c r="N19" i="3"/>
  <c r="N65" i="37" s="1"/>
  <c r="N21" i="3"/>
  <c r="N28" i="37" s="1"/>
  <c r="N15" i="3"/>
  <c r="N43" i="37" s="1"/>
  <c r="AD43" i="37" s="1"/>
  <c r="N22" i="3"/>
  <c r="N67" i="37" s="1"/>
  <c r="F61" i="31"/>
  <c r="L42" i="28"/>
  <c r="J67" i="37" l="1"/>
  <c r="AD67" i="37"/>
  <c r="AD28" i="37"/>
  <c r="J65" i="37"/>
  <c r="AD65" i="37"/>
  <c r="BH42" i="28"/>
  <c r="BD42" i="28"/>
  <c r="BG42" i="28"/>
  <c r="BC42" i="28"/>
  <c r="BE42" i="28"/>
  <c r="BF42" i="28"/>
  <c r="BI42" i="28"/>
  <c r="I61" i="31"/>
  <c r="M61" i="31"/>
  <c r="Q61" i="31"/>
  <c r="U61" i="31"/>
  <c r="Y61" i="31"/>
  <c r="AC61" i="31"/>
  <c r="AG61" i="31"/>
  <c r="AK61" i="31"/>
  <c r="AO61" i="31"/>
  <c r="AS61" i="31"/>
  <c r="AW61" i="31"/>
  <c r="BA61" i="31"/>
  <c r="K61" i="31"/>
  <c r="O61" i="31"/>
  <c r="S61" i="31"/>
  <c r="W61" i="31"/>
  <c r="AA61" i="31"/>
  <c r="AE61" i="31"/>
  <c r="AI61" i="31"/>
  <c r="AM61" i="31"/>
  <c r="AQ61" i="31"/>
  <c r="AU61" i="31"/>
  <c r="AY61" i="31"/>
  <c r="BC61" i="31"/>
  <c r="N61" i="31"/>
  <c r="V61" i="31"/>
  <c r="AD61" i="31"/>
  <c r="AL61" i="31"/>
  <c r="AT61" i="31"/>
  <c r="BB61" i="31"/>
  <c r="H61" i="31"/>
  <c r="P61" i="31"/>
  <c r="X61" i="31"/>
  <c r="AF61" i="31"/>
  <c r="AN61" i="31"/>
  <c r="AV61" i="31"/>
  <c r="BD61" i="31"/>
  <c r="J61" i="31"/>
  <c r="R61" i="31"/>
  <c r="Z61" i="31"/>
  <c r="AH61" i="31"/>
  <c r="AP61" i="31"/>
  <c r="AX61" i="31"/>
  <c r="L61" i="31"/>
  <c r="T61" i="31"/>
  <c r="AB61" i="31"/>
  <c r="AJ61" i="31"/>
  <c r="AR61" i="31"/>
  <c r="AZ61" i="31"/>
  <c r="T42" i="28"/>
  <c r="AB42" i="28"/>
  <c r="AJ42" i="28"/>
  <c r="AR42" i="28"/>
  <c r="AZ42" i="28"/>
  <c r="BP42" i="28"/>
  <c r="BX42" i="28"/>
  <c r="CF42" i="28"/>
  <c r="CN42" i="28"/>
  <c r="CV42" i="28"/>
  <c r="N42" i="28"/>
  <c r="V42" i="28"/>
  <c r="AD42" i="28"/>
  <c r="AL42" i="28"/>
  <c r="AT42" i="28"/>
  <c r="BB42" i="28"/>
  <c r="BJ42" i="28"/>
  <c r="BR42" i="28"/>
  <c r="BZ42" i="28"/>
  <c r="CH42" i="28"/>
  <c r="CP42" i="28"/>
  <c r="CX42" i="28"/>
  <c r="O42" i="28"/>
  <c r="W42" i="28"/>
  <c r="AE42" i="28"/>
  <c r="AM42" i="28"/>
  <c r="AU42" i="28"/>
  <c r="BK42" i="28"/>
  <c r="BS42" i="28"/>
  <c r="CA42" i="28"/>
  <c r="P42" i="28"/>
  <c r="X42" i="28"/>
  <c r="AF42" i="28"/>
  <c r="AN42" i="28"/>
  <c r="AV42" i="28"/>
  <c r="BL42" i="28"/>
  <c r="BT42" i="28"/>
  <c r="CB42" i="28"/>
  <c r="CJ42" i="28"/>
  <c r="CR42" i="28"/>
  <c r="Q42" i="28"/>
  <c r="Y42" i="28"/>
  <c r="AG42" i="28"/>
  <c r="AO42" i="28"/>
  <c r="AW42" i="28"/>
  <c r="BM42" i="28"/>
  <c r="BU42" i="28"/>
  <c r="CC42" i="28"/>
  <c r="CK42" i="28"/>
  <c r="CS42" i="28"/>
  <c r="U42" i="28"/>
  <c r="AQ42" i="28"/>
  <c r="BN42" i="28"/>
  <c r="CG42" i="28"/>
  <c r="CW42" i="28"/>
  <c r="DF42" i="28"/>
  <c r="DN42" i="28"/>
  <c r="DV42" i="28"/>
  <c r="ED42" i="28"/>
  <c r="EL42" i="28"/>
  <c r="ET42" i="28"/>
  <c r="FB42" i="28"/>
  <c r="FJ42" i="28"/>
  <c r="Z42" i="28"/>
  <c r="AS42" i="28"/>
  <c r="BO42" i="28"/>
  <c r="CI42" i="28"/>
  <c r="CY42" i="28"/>
  <c r="DG42" i="28"/>
  <c r="DO42" i="28"/>
  <c r="DW42" i="28"/>
  <c r="EE42" i="28"/>
  <c r="EM42" i="28"/>
  <c r="EU42" i="28"/>
  <c r="FC42" i="28"/>
  <c r="FK42" i="28"/>
  <c r="AH42" i="28"/>
  <c r="BA42" i="28"/>
  <c r="BW42" i="28"/>
  <c r="CO42" i="28"/>
  <c r="DB42" i="28"/>
  <c r="DJ42" i="28"/>
  <c r="DR42" i="28"/>
  <c r="DZ42" i="28"/>
  <c r="EH42" i="28"/>
  <c r="EP42" i="28"/>
  <c r="EX42" i="28"/>
  <c r="FF42" i="28"/>
  <c r="AP42" i="28"/>
  <c r="BY42" i="28"/>
  <c r="CZ42" i="28"/>
  <c r="DL42" i="28"/>
  <c r="DY42" i="28"/>
  <c r="EK42" i="28"/>
  <c r="EY42" i="28"/>
  <c r="FL42" i="28"/>
  <c r="AX42" i="28"/>
  <c r="CD42" i="28"/>
  <c r="DA42" i="28"/>
  <c r="DM42" i="28"/>
  <c r="EA42" i="28"/>
  <c r="EN42" i="28"/>
  <c r="EZ42" i="28"/>
  <c r="AA42" i="28"/>
  <c r="CM42" i="28"/>
  <c r="DE42" i="28"/>
  <c r="DS42" i="28"/>
  <c r="EF42" i="28"/>
  <c r="ER42" i="28"/>
  <c r="FE42" i="28"/>
  <c r="R42" i="28"/>
  <c r="BQ42" i="28"/>
  <c r="DD42" i="28"/>
  <c r="DX42" i="28"/>
  <c r="ES42" i="28"/>
  <c r="CU42" i="28"/>
  <c r="EO42" i="28"/>
  <c r="S42" i="28"/>
  <c r="BV42" i="28"/>
  <c r="DH42" i="28"/>
  <c r="EB42" i="28"/>
  <c r="EV42" i="28"/>
  <c r="AC42" i="28"/>
  <c r="CE42" i="28"/>
  <c r="DI42" i="28"/>
  <c r="EC42" i="28"/>
  <c r="EW42" i="28"/>
  <c r="AI42" i="28"/>
  <c r="CL42" i="28"/>
  <c r="DK42" i="28"/>
  <c r="EG42" i="28"/>
  <c r="FA42" i="28"/>
  <c r="AK42" i="28"/>
  <c r="CQ42" i="28"/>
  <c r="DP42" i="28"/>
  <c r="EI42" i="28"/>
  <c r="FD42" i="28"/>
  <c r="AY42" i="28"/>
  <c r="CT42" i="28"/>
  <c r="DQ42" i="28"/>
  <c r="EJ42" i="28"/>
  <c r="FG42" i="28"/>
  <c r="DT42" i="28"/>
  <c r="DC42" i="28"/>
  <c r="DU42" i="28"/>
  <c r="EQ42" i="28"/>
  <c r="FI42" i="28"/>
  <c r="FH42" i="28"/>
  <c r="F7" i="31" l="1"/>
  <c r="I43" i="30"/>
  <c r="I42" i="30"/>
  <c r="I41" i="30"/>
  <c r="I40" i="30"/>
  <c r="I39" i="30"/>
  <c r="I38" i="30"/>
  <c r="I37" i="30"/>
  <c r="I36" i="30"/>
  <c r="P7" i="30" s="1"/>
  <c r="I35" i="30"/>
  <c r="I30" i="30"/>
  <c r="I29" i="30"/>
  <c r="I21" i="30"/>
  <c r="I26" i="30"/>
  <c r="I27" i="30"/>
  <c r="I28" i="30"/>
  <c r="I25" i="30"/>
  <c r="I24" i="30"/>
  <c r="I23" i="30"/>
  <c r="I22" i="30"/>
  <c r="I13" i="30"/>
  <c r="I12" i="30"/>
  <c r="I11" i="30"/>
  <c r="I10" i="30"/>
  <c r="I9" i="30"/>
  <c r="P11" i="30" s="1"/>
  <c r="R48" i="37" s="1"/>
  <c r="I8" i="30"/>
  <c r="I7" i="30"/>
  <c r="G61" i="31"/>
  <c r="BE61" i="31" s="1"/>
  <c r="G59" i="31"/>
  <c r="BE59" i="31" s="1"/>
  <c r="G58" i="31"/>
  <c r="BE58" i="31" s="1"/>
  <c r="G12" i="31"/>
  <c r="BE12" i="31" s="1"/>
  <c r="BF12" i="31" s="1"/>
  <c r="G11" i="31"/>
  <c r="BE11" i="31" s="1"/>
  <c r="BF11" i="31" s="1"/>
  <c r="G10" i="31"/>
  <c r="BE5" i="31"/>
  <c r="BE4" i="31"/>
  <c r="BE3" i="31"/>
  <c r="BE2" i="31"/>
  <c r="AH48" i="37" l="1"/>
  <c r="J48" i="37"/>
  <c r="P9" i="30"/>
  <c r="R12" i="37" s="1"/>
  <c r="P14" i="30"/>
  <c r="R41" i="37" s="1"/>
  <c r="P8" i="30"/>
  <c r="R32" i="37" s="1"/>
  <c r="K7" i="31"/>
  <c r="O7" i="31"/>
  <c r="S7" i="31"/>
  <c r="W7" i="31"/>
  <c r="AA7" i="31"/>
  <c r="AE7" i="31"/>
  <c r="AI7" i="31"/>
  <c r="AM7" i="31"/>
  <c r="AQ7" i="31"/>
  <c r="AU7" i="31"/>
  <c r="AY7" i="31"/>
  <c r="BC7" i="31"/>
  <c r="H7" i="31"/>
  <c r="L7" i="31"/>
  <c r="P7" i="31"/>
  <c r="T7" i="31"/>
  <c r="X7" i="31"/>
  <c r="AB7" i="31"/>
  <c r="AF7" i="31"/>
  <c r="AJ7" i="31"/>
  <c r="AN7" i="31"/>
  <c r="AR7" i="31"/>
  <c r="AV7" i="31"/>
  <c r="AZ7" i="31"/>
  <c r="BD7" i="31"/>
  <c r="I7" i="31"/>
  <c r="M7" i="31"/>
  <c r="Q7" i="31"/>
  <c r="U7" i="31"/>
  <c r="Y7" i="31"/>
  <c r="AC7" i="31"/>
  <c r="AG7" i="31"/>
  <c r="AK7" i="31"/>
  <c r="AO7" i="31"/>
  <c r="AS7" i="31"/>
  <c r="AW7" i="31"/>
  <c r="BA7" i="31"/>
  <c r="J7" i="31"/>
  <c r="N7" i="31"/>
  <c r="R7" i="31"/>
  <c r="V7" i="31"/>
  <c r="Z7" i="31"/>
  <c r="AD7" i="31"/>
  <c r="AH7" i="31"/>
  <c r="AL7" i="31"/>
  <c r="AP7" i="31"/>
  <c r="AT7" i="31"/>
  <c r="AX7" i="31"/>
  <c r="BB7" i="31"/>
  <c r="G7" i="31"/>
  <c r="BE10" i="31"/>
  <c r="BF10" i="31" s="1"/>
  <c r="P6" i="30"/>
  <c r="R47" i="37" s="1"/>
  <c r="P15" i="30"/>
  <c r="R20" i="37" s="1"/>
  <c r="P13" i="30"/>
  <c r="R95" i="37" s="1"/>
  <c r="P10" i="30"/>
  <c r="R16" i="37" s="1"/>
  <c r="P12" i="30"/>
  <c r="R49" i="37" s="1"/>
  <c r="P20" i="30"/>
  <c r="T12" i="2" s="1"/>
  <c r="P19" i="30"/>
  <c r="T9" i="2" s="1"/>
  <c r="AH95" i="37" l="1"/>
  <c r="J95" i="37"/>
  <c r="AH12" i="37"/>
  <c r="J12" i="37"/>
  <c r="AH41" i="37"/>
  <c r="J41" i="37"/>
  <c r="AH20" i="37"/>
  <c r="J20" i="37"/>
  <c r="AH16" i="37"/>
  <c r="AH49" i="37"/>
  <c r="J49" i="37"/>
  <c r="AH47" i="37"/>
  <c r="J47" i="37"/>
  <c r="AH32" i="37"/>
  <c r="J32" i="37"/>
  <c r="BE7" i="31"/>
  <c r="BF7" i="31" s="1"/>
  <c r="S138" i="37" l="1"/>
  <c r="BF35" i="28"/>
  <c r="BE35" i="28"/>
  <c r="BC35" i="28"/>
  <c r="BI35" i="28"/>
  <c r="BH35" i="28"/>
  <c r="BD35" i="28"/>
  <c r="BG35" i="28"/>
  <c r="P35" i="28"/>
  <c r="X35" i="28"/>
  <c r="AF35" i="28"/>
  <c r="AN35" i="28"/>
  <c r="AV35" i="28"/>
  <c r="BL35" i="28"/>
  <c r="BT35" i="28"/>
  <c r="CB35" i="28"/>
  <c r="CJ35" i="28"/>
  <c r="CR35" i="28"/>
  <c r="CZ35" i="28"/>
  <c r="DH35" i="28"/>
  <c r="DP35" i="28"/>
  <c r="DX35" i="28"/>
  <c r="EF35" i="28"/>
  <c r="EN35" i="28"/>
  <c r="EV35" i="28"/>
  <c r="FD35" i="28"/>
  <c r="FL35" i="28"/>
  <c r="Q35" i="28"/>
  <c r="Y35" i="28"/>
  <c r="AG35" i="28"/>
  <c r="AO35" i="28"/>
  <c r="AW35" i="28"/>
  <c r="BM35" i="28"/>
  <c r="BU35" i="28"/>
  <c r="CC35" i="28"/>
  <c r="CK35" i="28"/>
  <c r="CS35" i="28"/>
  <c r="DA35" i="28"/>
  <c r="DI35" i="28"/>
  <c r="DQ35" i="28"/>
  <c r="DY35" i="28"/>
  <c r="EG35" i="28"/>
  <c r="EO35" i="28"/>
  <c r="EW35" i="28"/>
  <c r="FE35" i="28"/>
  <c r="R35" i="28"/>
  <c r="Z35" i="28"/>
  <c r="AH35" i="28"/>
  <c r="AP35" i="28"/>
  <c r="AX35" i="28"/>
  <c r="BN35" i="28"/>
  <c r="BV35" i="28"/>
  <c r="CD35" i="28"/>
  <c r="CL35" i="28"/>
  <c r="CT35" i="28"/>
  <c r="DB35" i="28"/>
  <c r="DJ35" i="28"/>
  <c r="DR35" i="28"/>
  <c r="DZ35" i="28"/>
  <c r="EH35" i="28"/>
  <c r="EP35" i="28"/>
  <c r="EX35" i="28"/>
  <c r="FF35" i="28"/>
  <c r="S35" i="28"/>
  <c r="AA35" i="28"/>
  <c r="AI35" i="28"/>
  <c r="AQ35" i="28"/>
  <c r="AY35" i="28"/>
  <c r="BO35" i="28"/>
  <c r="BW35" i="28"/>
  <c r="CE35" i="28"/>
  <c r="CM35" i="28"/>
  <c r="CU35" i="28"/>
  <c r="DC35" i="28"/>
  <c r="DK35" i="28"/>
  <c r="DS35" i="28"/>
  <c r="EA35" i="28"/>
  <c r="EI35" i="28"/>
  <c r="EQ35" i="28"/>
  <c r="EY35" i="28"/>
  <c r="FG35" i="28"/>
  <c r="T35" i="28"/>
  <c r="AB35" i="28"/>
  <c r="AJ35" i="28"/>
  <c r="AR35" i="28"/>
  <c r="AZ35" i="28"/>
  <c r="BP35" i="28"/>
  <c r="BX35" i="28"/>
  <c r="CF35" i="28"/>
  <c r="CN35" i="28"/>
  <c r="CV35" i="28"/>
  <c r="DD35" i="28"/>
  <c r="DL35" i="28"/>
  <c r="DT35" i="28"/>
  <c r="EB35" i="28"/>
  <c r="EJ35" i="28"/>
  <c r="ER35" i="28"/>
  <c r="EZ35" i="28"/>
  <c r="FH35" i="28"/>
  <c r="U35" i="28"/>
  <c r="AC35" i="28"/>
  <c r="AK35" i="28"/>
  <c r="AS35" i="28"/>
  <c r="BA35" i="28"/>
  <c r="BQ35" i="28"/>
  <c r="BY35" i="28"/>
  <c r="CG35" i="28"/>
  <c r="CO35" i="28"/>
  <c r="CW35" i="28"/>
  <c r="DE35" i="28"/>
  <c r="DM35" i="28"/>
  <c r="DU35" i="28"/>
  <c r="EC35" i="28"/>
  <c r="EK35" i="28"/>
  <c r="ES35" i="28"/>
  <c r="FA35" i="28"/>
  <c r="FI35" i="28"/>
  <c r="O35" i="28"/>
  <c r="W35" i="28"/>
  <c r="AE35" i="28"/>
  <c r="AM35" i="28"/>
  <c r="AU35" i="28"/>
  <c r="BK35" i="28"/>
  <c r="BS35" i="28"/>
  <c r="CA35" i="28"/>
  <c r="CI35" i="28"/>
  <c r="CQ35" i="28"/>
  <c r="CY35" i="28"/>
  <c r="DG35" i="28"/>
  <c r="DO35" i="28"/>
  <c r="DW35" i="28"/>
  <c r="EE35" i="28"/>
  <c r="EM35" i="28"/>
  <c r="EU35" i="28"/>
  <c r="FC35" i="28"/>
  <c r="FK35" i="28"/>
  <c r="AL35" i="28"/>
  <c r="CX35" i="28"/>
  <c r="FJ35" i="28"/>
  <c r="BB35" i="28"/>
  <c r="DN35" i="28"/>
  <c r="BJ35" i="28"/>
  <c r="DV35" i="28"/>
  <c r="BR35" i="28"/>
  <c r="ED35" i="28"/>
  <c r="N35" i="28"/>
  <c r="BZ35" i="28"/>
  <c r="EL35" i="28"/>
  <c r="AT35" i="28"/>
  <c r="CH35" i="28"/>
  <c r="ET35" i="28"/>
  <c r="AD35" i="28"/>
  <c r="V35" i="28"/>
  <c r="CP35" i="28"/>
  <c r="DF35" i="28"/>
  <c r="FB35" i="28"/>
  <c r="M19" i="28"/>
  <c r="M20" i="28"/>
  <c r="FM20" i="28" s="1"/>
  <c r="FN20" i="28" s="1"/>
  <c r="M21" i="28"/>
  <c r="FM21" i="28" s="1"/>
  <c r="FN21" i="28" s="1"/>
  <c r="M22" i="28"/>
  <c r="FM22" i="28" s="1"/>
  <c r="FN22" i="28" s="1"/>
  <c r="M23" i="28"/>
  <c r="FM23" i="28" s="1"/>
  <c r="FN23" i="28" s="1"/>
  <c r="M24" i="28"/>
  <c r="FM24" i="28" s="1"/>
  <c r="FN24" i="28" s="1"/>
  <c r="M47" i="28"/>
  <c r="M48" i="28"/>
  <c r="M49" i="28"/>
  <c r="M50" i="28"/>
  <c r="M51" i="28"/>
  <c r="M52" i="28"/>
  <c r="K22" i="29"/>
  <c r="AI138" i="37" l="1"/>
  <c r="J138" i="37"/>
  <c r="FM19" i="28"/>
  <c r="FN19" i="28" s="1"/>
  <c r="R16" i="6"/>
  <c r="Y74" i="37" s="1"/>
  <c r="AO74" i="37" s="1"/>
  <c r="FO34" i="28" l="1"/>
  <c r="FO35" i="28"/>
  <c r="FO36" i="28"/>
  <c r="FO37" i="28"/>
  <c r="FO38" i="28"/>
  <c r="FO39" i="28"/>
  <c r="FO40" i="28"/>
  <c r="FO41" i="28"/>
  <c r="FO42" i="28"/>
  <c r="FO43" i="28"/>
  <c r="FO44" i="28"/>
  <c r="FO45" i="28"/>
  <c r="FO46" i="28"/>
  <c r="FO47" i="28"/>
  <c r="FO48" i="28"/>
  <c r="FO49" i="28"/>
  <c r="FO50" i="28"/>
  <c r="FO51" i="28"/>
  <c r="FO52" i="28"/>
  <c r="FO53" i="28"/>
  <c r="FO9" i="28"/>
  <c r="FO10" i="28"/>
  <c r="FO11" i="28"/>
  <c r="FO12" i="28"/>
  <c r="FO13" i="28"/>
  <c r="FO16" i="28"/>
  <c r="FO17" i="28"/>
  <c r="FO18" i="28"/>
  <c r="FO19" i="28"/>
  <c r="FO20" i="28"/>
  <c r="FO21" i="28"/>
  <c r="FO22" i="28"/>
  <c r="FO23" i="28"/>
  <c r="FO24" i="28"/>
  <c r="FO25" i="28"/>
  <c r="FO26" i="28"/>
  <c r="FO27" i="28"/>
  <c r="FO28" i="28"/>
  <c r="R15" i="6" l="1"/>
  <c r="Y176" i="37" s="1"/>
  <c r="R14" i="6"/>
  <c r="Y78" i="37" s="1"/>
  <c r="AO78" i="37" s="1"/>
  <c r="R13" i="6"/>
  <c r="Y75" i="37" s="1"/>
  <c r="AO75" i="37" s="1"/>
  <c r="J176" i="37" l="1"/>
  <c r="AO176" i="37"/>
  <c r="FM50" i="28"/>
  <c r="FN50" i="28" s="1"/>
  <c r="FM52" i="28"/>
  <c r="FN52" i="28" s="1"/>
  <c r="FM49" i="28"/>
  <c r="FN49" i="28" s="1"/>
  <c r="FM51" i="28"/>
  <c r="FN51" i="28" s="1"/>
  <c r="FM48" i="28"/>
  <c r="FN48" i="28" s="1"/>
  <c r="FM47" i="28"/>
  <c r="FN47" i="28" s="1"/>
  <c r="H42" i="27"/>
  <c r="H41" i="27"/>
  <c r="H40" i="27"/>
  <c r="H39" i="27"/>
  <c r="G38" i="27"/>
  <c r="H38" i="27" s="1"/>
  <c r="G37" i="27"/>
  <c r="H37" i="27" s="1"/>
  <c r="G30" i="6"/>
  <c r="G31" i="6"/>
  <c r="H31" i="6" s="1"/>
  <c r="F29" i="6"/>
  <c r="G29" i="6" s="1"/>
  <c r="F27" i="6"/>
  <c r="G27" i="6" s="1"/>
  <c r="F26" i="6"/>
  <c r="G26" i="6" s="1"/>
  <c r="F25" i="6"/>
  <c r="G25" i="6" s="1"/>
  <c r="F24" i="6"/>
  <c r="G24" i="6" s="1"/>
  <c r="H27" i="6" l="1"/>
  <c r="H28" i="6"/>
  <c r="R17" i="6" s="1"/>
  <c r="Y212" i="37" s="1"/>
  <c r="FM45" i="28"/>
  <c r="FN45" i="28" s="1"/>
  <c r="P34" i="37" s="1"/>
  <c r="AF34" i="37" s="1"/>
  <c r="FM44" i="28"/>
  <c r="FN44" i="28" s="1"/>
  <c r="P35" i="37" s="1"/>
  <c r="AF35" i="37" s="1"/>
  <c r="H30" i="6"/>
  <c r="R20" i="6" s="1"/>
  <c r="AA10" i="2" s="1"/>
  <c r="H24" i="6"/>
  <c r="R5" i="6" s="1"/>
  <c r="Y175" i="37" s="1"/>
  <c r="H25" i="6"/>
  <c r="R6" i="6" s="1"/>
  <c r="Y147" i="37" s="1"/>
  <c r="AO147" i="37" s="1"/>
  <c r="H26" i="6"/>
  <c r="R7" i="6" s="1"/>
  <c r="Y186" i="37" s="1"/>
  <c r="R8" i="6"/>
  <c r="Y187" i="37" s="1"/>
  <c r="H29" i="6"/>
  <c r="R9" i="6" s="1"/>
  <c r="Y152" i="37" s="1"/>
  <c r="J187" i="37" l="1"/>
  <c r="AO187" i="37"/>
  <c r="J186" i="37"/>
  <c r="AO186" i="37"/>
  <c r="AO175" i="37"/>
  <c r="J175" i="37"/>
  <c r="J152" i="37"/>
  <c r="AO152" i="37"/>
  <c r="AO212" i="37"/>
  <c r="J212" i="37"/>
  <c r="J147" i="37"/>
  <c r="H9" i="27"/>
  <c r="H6" i="12" l="1"/>
  <c r="N5" i="12" s="1"/>
  <c r="K78" i="37" s="1"/>
  <c r="AA78" i="37" l="1"/>
  <c r="J78" i="37"/>
  <c r="F25" i="3"/>
  <c r="G25" i="3" s="1"/>
  <c r="F19" i="3"/>
  <c r="G19" i="3" s="1"/>
  <c r="E19" i="3"/>
  <c r="F11" i="3"/>
  <c r="G11" i="3" s="1"/>
  <c r="F10" i="3"/>
  <c r="G10" i="3" s="1"/>
  <c r="N10" i="3" s="1"/>
  <c r="N157" i="37" s="1"/>
  <c r="E10" i="3"/>
  <c r="G9" i="3"/>
  <c r="N6" i="3" s="1"/>
  <c r="N68" i="37" s="1"/>
  <c r="F8" i="3"/>
  <c r="G8" i="3" s="1"/>
  <c r="F7" i="3"/>
  <c r="G7" i="3" s="1"/>
  <c r="AD157" i="37" l="1"/>
  <c r="J157" i="37"/>
  <c r="AD68" i="37"/>
  <c r="J68" i="37"/>
  <c r="N4" i="3"/>
  <c r="N64" i="37" s="1"/>
  <c r="N5" i="3"/>
  <c r="N66" i="37" s="1"/>
  <c r="N11" i="3"/>
  <c r="N20" i="3"/>
  <c r="N63" i="37" s="1"/>
  <c r="AD63" i="37" s="1"/>
  <c r="G11" i="6"/>
  <c r="J66" i="37" l="1"/>
  <c r="AD66" i="37"/>
  <c r="J64" i="37"/>
  <c r="AD64" i="37"/>
  <c r="H11" i="6"/>
  <c r="R21" i="6" s="1"/>
  <c r="AA8" i="2" s="1"/>
  <c r="L47" i="29"/>
  <c r="L48" i="29"/>
  <c r="L55" i="29"/>
  <c r="L56" i="29"/>
  <c r="L57" i="29"/>
  <c r="L59" i="29"/>
  <c r="L60" i="29"/>
  <c r="L61" i="29"/>
  <c r="L62" i="29"/>
  <c r="L64" i="29"/>
  <c r="L65" i="29"/>
  <c r="L66" i="29"/>
  <c r="L67" i="29"/>
  <c r="L68" i="29"/>
  <c r="L69" i="29"/>
  <c r="AL69" i="29"/>
  <c r="AK69" i="29"/>
  <c r="AJ69" i="29"/>
  <c r="AI69" i="29"/>
  <c r="AH69" i="29"/>
  <c r="AG69" i="29"/>
  <c r="AF69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S69" i="29"/>
  <c r="R69" i="29"/>
  <c r="Q69" i="29"/>
  <c r="P69" i="29"/>
  <c r="O69" i="29"/>
  <c r="N69" i="29"/>
  <c r="M69" i="29"/>
  <c r="C69" i="29"/>
  <c r="E69" i="29" s="1"/>
  <c r="G69" i="29" s="1"/>
  <c r="AL68" i="29"/>
  <c r="AK68" i="29"/>
  <c r="AJ68" i="29"/>
  <c r="AI68" i="29"/>
  <c r="AH68" i="29"/>
  <c r="AG68" i="29"/>
  <c r="AF68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C68" i="29"/>
  <c r="E68" i="29" s="1"/>
  <c r="G68" i="29" s="1"/>
  <c r="AL67" i="29"/>
  <c r="AK67" i="29"/>
  <c r="AJ67" i="29"/>
  <c r="AI67" i="29"/>
  <c r="AH67" i="29"/>
  <c r="AG67" i="29"/>
  <c r="AF67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C67" i="29"/>
  <c r="E67" i="29" s="1"/>
  <c r="G67" i="29" s="1"/>
  <c r="AL66" i="29"/>
  <c r="AK66" i="29"/>
  <c r="AJ66" i="29"/>
  <c r="AI66" i="29"/>
  <c r="AH66" i="29"/>
  <c r="AG66" i="29"/>
  <c r="AF66" i="29"/>
  <c r="AE66" i="29"/>
  <c r="AD66" i="29"/>
  <c r="AC66" i="29"/>
  <c r="AB66" i="29"/>
  <c r="AA66" i="29"/>
  <c r="Z66" i="29"/>
  <c r="Y66" i="29"/>
  <c r="X66" i="29"/>
  <c r="W66" i="29"/>
  <c r="V66" i="29"/>
  <c r="U66" i="29"/>
  <c r="T66" i="29"/>
  <c r="S66" i="29"/>
  <c r="R66" i="29"/>
  <c r="Q66" i="29"/>
  <c r="P66" i="29"/>
  <c r="O66" i="29"/>
  <c r="N66" i="29"/>
  <c r="M66" i="29"/>
  <c r="C66" i="29"/>
  <c r="E66" i="29" s="1"/>
  <c r="G66" i="29" s="1"/>
  <c r="AL65" i="29"/>
  <c r="AK65" i="29"/>
  <c r="AJ65" i="29"/>
  <c r="AI65" i="29"/>
  <c r="AH65" i="29"/>
  <c r="AG65" i="29"/>
  <c r="AF65" i="29"/>
  <c r="AE65" i="29"/>
  <c r="AD65" i="29"/>
  <c r="AC65" i="29"/>
  <c r="AB65" i="29"/>
  <c r="AA65" i="29"/>
  <c r="Z65" i="29"/>
  <c r="Y65" i="29"/>
  <c r="X65" i="29"/>
  <c r="W65" i="29"/>
  <c r="V65" i="29"/>
  <c r="U65" i="29"/>
  <c r="T65" i="29"/>
  <c r="S65" i="29"/>
  <c r="R65" i="29"/>
  <c r="Q65" i="29"/>
  <c r="P65" i="29"/>
  <c r="O65" i="29"/>
  <c r="N65" i="29"/>
  <c r="M65" i="29"/>
  <c r="C65" i="29"/>
  <c r="E65" i="29" s="1"/>
  <c r="G65" i="29" s="1"/>
  <c r="AL64" i="29"/>
  <c r="AK64" i="29"/>
  <c r="AJ64" i="29"/>
  <c r="AI64" i="29"/>
  <c r="AH64" i="29"/>
  <c r="AG64" i="29"/>
  <c r="AF64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S64" i="29"/>
  <c r="R64" i="29"/>
  <c r="Q64" i="29"/>
  <c r="P64" i="29"/>
  <c r="O64" i="29"/>
  <c r="N64" i="29"/>
  <c r="M64" i="29"/>
  <c r="C64" i="29"/>
  <c r="E64" i="29" s="1"/>
  <c r="G64" i="29" s="1"/>
  <c r="K63" i="29"/>
  <c r="AC63" i="29" s="1"/>
  <c r="C63" i="29"/>
  <c r="E63" i="29" s="1"/>
  <c r="G63" i="29" s="1"/>
  <c r="AL62" i="29"/>
  <c r="AK62" i="29"/>
  <c r="AJ62" i="29"/>
  <c r="AI62" i="29"/>
  <c r="AH62" i="29"/>
  <c r="AG62" i="29"/>
  <c r="AF62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S62" i="29"/>
  <c r="R62" i="29"/>
  <c r="Q62" i="29"/>
  <c r="P62" i="29"/>
  <c r="O62" i="29"/>
  <c r="N62" i="29"/>
  <c r="M62" i="29"/>
  <c r="C62" i="29"/>
  <c r="E62" i="29" s="1"/>
  <c r="G62" i="29" s="1"/>
  <c r="AL61" i="29"/>
  <c r="AK61" i="29"/>
  <c r="AJ61" i="29"/>
  <c r="AI61" i="29"/>
  <c r="AH61" i="29"/>
  <c r="AG61" i="29"/>
  <c r="AF61" i="29"/>
  <c r="AE61" i="29"/>
  <c r="AD61" i="29"/>
  <c r="AC61" i="29"/>
  <c r="AB61" i="29"/>
  <c r="AA61" i="29"/>
  <c r="Z61" i="29"/>
  <c r="Y61" i="29"/>
  <c r="X61" i="29"/>
  <c r="W61" i="29"/>
  <c r="V61" i="29"/>
  <c r="U61" i="29"/>
  <c r="T61" i="29"/>
  <c r="S61" i="29"/>
  <c r="R61" i="29"/>
  <c r="Q61" i="29"/>
  <c r="P61" i="29"/>
  <c r="O61" i="29"/>
  <c r="N61" i="29"/>
  <c r="M61" i="29"/>
  <c r="C61" i="29"/>
  <c r="E61" i="29" s="1"/>
  <c r="G61" i="29" s="1"/>
  <c r="AL60" i="29"/>
  <c r="AK60" i="29"/>
  <c r="AJ60" i="29"/>
  <c r="AI60" i="29"/>
  <c r="AH60" i="29"/>
  <c r="AG60" i="29"/>
  <c r="AF60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S60" i="29"/>
  <c r="R60" i="29"/>
  <c r="Q60" i="29"/>
  <c r="P60" i="29"/>
  <c r="O60" i="29"/>
  <c r="N60" i="29"/>
  <c r="M60" i="29"/>
  <c r="C60" i="29"/>
  <c r="E60" i="29" s="1"/>
  <c r="G60" i="29" s="1"/>
  <c r="AL59" i="29"/>
  <c r="AK59" i="29"/>
  <c r="AJ59" i="29"/>
  <c r="AI59" i="29"/>
  <c r="AH59" i="29"/>
  <c r="AG59" i="29"/>
  <c r="AF59" i="29"/>
  <c r="AE59" i="29"/>
  <c r="AD59" i="29"/>
  <c r="AC59" i="29"/>
  <c r="AB59" i="29"/>
  <c r="AA59" i="29"/>
  <c r="Z59" i="29"/>
  <c r="Y59" i="29"/>
  <c r="X59" i="29"/>
  <c r="W59" i="29"/>
  <c r="V59" i="29"/>
  <c r="U59" i="29"/>
  <c r="T59" i="29"/>
  <c r="S59" i="29"/>
  <c r="R59" i="29"/>
  <c r="Q59" i="29"/>
  <c r="P59" i="29"/>
  <c r="O59" i="29"/>
  <c r="N59" i="29"/>
  <c r="M59" i="29"/>
  <c r="C59" i="29"/>
  <c r="E59" i="29" s="1"/>
  <c r="G59" i="29" s="1"/>
  <c r="K58" i="29"/>
  <c r="AH58" i="29" s="1"/>
  <c r="C58" i="29"/>
  <c r="E58" i="29" s="1"/>
  <c r="G58" i="29" s="1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C57" i="29"/>
  <c r="E57" i="29" s="1"/>
  <c r="G57" i="29" s="1"/>
  <c r="AL56" i="29"/>
  <c r="AK56" i="29"/>
  <c r="AJ56" i="29"/>
  <c r="AI56" i="29"/>
  <c r="AH56" i="29"/>
  <c r="AG56" i="29"/>
  <c r="AF56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C56" i="29"/>
  <c r="E56" i="29" s="1"/>
  <c r="G56" i="29" s="1"/>
  <c r="AL55" i="29"/>
  <c r="AK55" i="29"/>
  <c r="AJ55" i="29"/>
  <c r="AI55" i="29"/>
  <c r="AH55" i="29"/>
  <c r="AG55" i="29"/>
  <c r="AF55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C55" i="29"/>
  <c r="E55" i="29" s="1"/>
  <c r="G55" i="29" s="1"/>
  <c r="K54" i="29"/>
  <c r="AK54" i="29" s="1"/>
  <c r="C54" i="29"/>
  <c r="E54" i="29" s="1"/>
  <c r="G54" i="29" s="1"/>
  <c r="K53" i="29"/>
  <c r="T53" i="29" s="1"/>
  <c r="C53" i="29"/>
  <c r="E53" i="29" s="1"/>
  <c r="G53" i="29" s="1"/>
  <c r="K52" i="29"/>
  <c r="AJ52" i="29" s="1"/>
  <c r="C52" i="29"/>
  <c r="E52" i="29" s="1"/>
  <c r="G52" i="29" s="1"/>
  <c r="K51" i="29"/>
  <c r="AI51" i="29" s="1"/>
  <c r="C51" i="29"/>
  <c r="E51" i="29" s="1"/>
  <c r="G51" i="29" s="1"/>
  <c r="K50" i="29"/>
  <c r="AF50" i="29" s="1"/>
  <c r="C50" i="29"/>
  <c r="E50" i="29" s="1"/>
  <c r="G50" i="29" s="1"/>
  <c r="K49" i="29"/>
  <c r="AI49" i="29" s="1"/>
  <c r="C49" i="29"/>
  <c r="E49" i="29" s="1"/>
  <c r="G49" i="29" s="1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C48" i="29"/>
  <c r="E48" i="29" s="1"/>
  <c r="G48" i="29" s="1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C47" i="29"/>
  <c r="E47" i="29" s="1"/>
  <c r="G47" i="29" s="1"/>
  <c r="AN45" i="29"/>
  <c r="AN44" i="29"/>
  <c r="AN43" i="29"/>
  <c r="AN42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C33" i="29"/>
  <c r="E33" i="29" s="1"/>
  <c r="G33" i="29" s="1"/>
  <c r="H33" i="29" s="1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C32" i="29"/>
  <c r="E32" i="29" s="1"/>
  <c r="G32" i="29" s="1"/>
  <c r="H32" i="29" s="1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C31" i="29"/>
  <c r="E31" i="29" s="1"/>
  <c r="G31" i="29" s="1"/>
  <c r="H31" i="29" s="1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C30" i="29"/>
  <c r="E30" i="29" s="1"/>
  <c r="G30" i="29" s="1"/>
  <c r="H30" i="29" s="1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C29" i="29"/>
  <c r="E29" i="29" s="1"/>
  <c r="G29" i="29" s="1"/>
  <c r="H29" i="29" s="1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C28" i="29"/>
  <c r="E28" i="29" s="1"/>
  <c r="G28" i="29" s="1"/>
  <c r="H28" i="29" s="1"/>
  <c r="K27" i="29"/>
  <c r="AG27" i="29" s="1"/>
  <c r="C27" i="29"/>
  <c r="E27" i="29" s="1"/>
  <c r="G27" i="29" s="1"/>
  <c r="H27" i="29" s="1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C26" i="29"/>
  <c r="E26" i="29" s="1"/>
  <c r="G26" i="29" s="1"/>
  <c r="H26" i="29" s="1"/>
  <c r="AL25" i="29"/>
  <c r="AK25" i="29"/>
  <c r="AJ25" i="29"/>
  <c r="AI25" i="29"/>
  <c r="AH25" i="29"/>
  <c r="AG25" i="29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C25" i="29"/>
  <c r="E25" i="29" s="1"/>
  <c r="G25" i="29" s="1"/>
  <c r="H25" i="29" s="1"/>
  <c r="AL24" i="29"/>
  <c r="AK24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C24" i="29"/>
  <c r="E24" i="29" s="1"/>
  <c r="G24" i="29" s="1"/>
  <c r="H24" i="29" s="1"/>
  <c r="AL23" i="29"/>
  <c r="AK23" i="29"/>
  <c r="AJ23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C23" i="29"/>
  <c r="E23" i="29" s="1"/>
  <c r="G23" i="29" s="1"/>
  <c r="H23" i="29" s="1"/>
  <c r="AB22" i="29"/>
  <c r="X22" i="29"/>
  <c r="L22" i="29"/>
  <c r="AE22" i="29"/>
  <c r="C22" i="29"/>
  <c r="E22" i="29" s="1"/>
  <c r="G22" i="29" s="1"/>
  <c r="H22" i="29" s="1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C21" i="29"/>
  <c r="E21" i="29" s="1"/>
  <c r="G21" i="29" s="1"/>
  <c r="H21" i="29" s="1"/>
  <c r="AL20" i="29"/>
  <c r="AK20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C20" i="29"/>
  <c r="E20" i="29" s="1"/>
  <c r="G20" i="29" s="1"/>
  <c r="H20" i="29" s="1"/>
  <c r="K19" i="29"/>
  <c r="AI19" i="29" s="1"/>
  <c r="C19" i="29"/>
  <c r="E19" i="29" s="1"/>
  <c r="G19" i="29" s="1"/>
  <c r="H19" i="29" s="1"/>
  <c r="K18" i="29"/>
  <c r="AJ18" i="29" s="1"/>
  <c r="C18" i="29"/>
  <c r="E18" i="29" s="1"/>
  <c r="G18" i="29" s="1"/>
  <c r="H18" i="29" s="1"/>
  <c r="K17" i="29"/>
  <c r="AE17" i="29" s="1"/>
  <c r="C17" i="29"/>
  <c r="E17" i="29" s="1"/>
  <c r="G17" i="29" s="1"/>
  <c r="H17" i="29" s="1"/>
  <c r="K16" i="29"/>
  <c r="AG16" i="29" s="1"/>
  <c r="C16" i="29"/>
  <c r="E16" i="29" s="1"/>
  <c r="G16" i="29" s="1"/>
  <c r="H16" i="29" s="1"/>
  <c r="K15" i="29"/>
  <c r="AI15" i="29" s="1"/>
  <c r="C15" i="29"/>
  <c r="E15" i="29" s="1"/>
  <c r="G15" i="29" s="1"/>
  <c r="H15" i="29" s="1"/>
  <c r="K14" i="29"/>
  <c r="AJ14" i="29" s="1"/>
  <c r="C14" i="29"/>
  <c r="E14" i="29" s="1"/>
  <c r="G14" i="29" s="1"/>
  <c r="H14" i="29" s="1"/>
  <c r="K13" i="29"/>
  <c r="AL13" i="29" s="1"/>
  <c r="C13" i="29"/>
  <c r="E13" i="29" s="1"/>
  <c r="G13" i="29" s="1"/>
  <c r="H13" i="29" s="1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C12" i="29"/>
  <c r="E12" i="29" s="1"/>
  <c r="G12" i="29" s="1"/>
  <c r="H12" i="29" s="1"/>
  <c r="K11" i="29"/>
  <c r="AH11" i="29" s="1"/>
  <c r="C11" i="29"/>
  <c r="E11" i="29" s="1"/>
  <c r="G11" i="29" s="1"/>
  <c r="H11" i="29" s="1"/>
  <c r="AN9" i="29"/>
  <c r="AN8" i="29"/>
  <c r="AN7" i="29"/>
  <c r="AN6" i="29"/>
  <c r="L53" i="28"/>
  <c r="K53" i="28"/>
  <c r="D53" i="28"/>
  <c r="F53" i="28" s="1"/>
  <c r="H53" i="28" s="1"/>
  <c r="D52" i="28"/>
  <c r="F52" i="28" s="1"/>
  <c r="D51" i="28"/>
  <c r="F51" i="28" s="1"/>
  <c r="D50" i="28"/>
  <c r="F50" i="28" s="1"/>
  <c r="D49" i="28"/>
  <c r="F49" i="28" s="1"/>
  <c r="D48" i="28"/>
  <c r="F48" i="28" s="1"/>
  <c r="D47" i="28"/>
  <c r="F47" i="28" s="1"/>
  <c r="H47" i="28" s="1"/>
  <c r="D46" i="28"/>
  <c r="F46" i="28" s="1"/>
  <c r="H46" i="28" s="1"/>
  <c r="D45" i="28"/>
  <c r="F45" i="28" s="1"/>
  <c r="H45" i="28" s="1"/>
  <c r="D44" i="28"/>
  <c r="F44" i="28" s="1"/>
  <c r="H44" i="28" s="1"/>
  <c r="L43" i="28"/>
  <c r="D43" i="28"/>
  <c r="F43" i="28" s="1"/>
  <c r="H43" i="28" s="1"/>
  <c r="D42" i="28"/>
  <c r="F42" i="28" s="1"/>
  <c r="H42" i="28" s="1"/>
  <c r="L41" i="28"/>
  <c r="D41" i="28"/>
  <c r="F41" i="28" s="1"/>
  <c r="H41" i="28" s="1"/>
  <c r="L40" i="28"/>
  <c r="D40" i="28"/>
  <c r="F40" i="28" s="1"/>
  <c r="H40" i="28" s="1"/>
  <c r="L39" i="28"/>
  <c r="D39" i="28"/>
  <c r="F39" i="28" s="1"/>
  <c r="H39" i="28" s="1"/>
  <c r="L38" i="28"/>
  <c r="D38" i="28"/>
  <c r="F38" i="28" s="1"/>
  <c r="H38" i="28" s="1"/>
  <c r="L37" i="28"/>
  <c r="D37" i="28"/>
  <c r="F37" i="28" s="1"/>
  <c r="H37" i="28" s="1"/>
  <c r="L36" i="28"/>
  <c r="K36" i="28"/>
  <c r="D35" i="28"/>
  <c r="F35" i="28" s="1"/>
  <c r="H35" i="28" s="1"/>
  <c r="L34" i="28"/>
  <c r="D34" i="28"/>
  <c r="F34" i="28" s="1"/>
  <c r="H34" i="28" s="1"/>
  <c r="L28" i="28"/>
  <c r="K28" i="28"/>
  <c r="D28" i="28"/>
  <c r="F28" i="28" s="1"/>
  <c r="H28" i="28" s="1"/>
  <c r="L27" i="28"/>
  <c r="D27" i="28"/>
  <c r="F27" i="28" s="1"/>
  <c r="H27" i="28" s="1"/>
  <c r="L26" i="28"/>
  <c r="D26" i="28"/>
  <c r="F26" i="28" s="1"/>
  <c r="H26" i="28" s="1"/>
  <c r="L25" i="28"/>
  <c r="D25" i="28"/>
  <c r="F25" i="28" s="1"/>
  <c r="H25" i="28" s="1"/>
  <c r="D24" i="28"/>
  <c r="F24" i="28" s="1"/>
  <c r="H24" i="28" s="1"/>
  <c r="D23" i="28"/>
  <c r="F23" i="28" s="1"/>
  <c r="H23" i="28" s="1"/>
  <c r="D22" i="28"/>
  <c r="F22" i="28" s="1"/>
  <c r="H22" i="28" s="1"/>
  <c r="D21" i="28"/>
  <c r="F21" i="28" s="1"/>
  <c r="H21" i="28" s="1"/>
  <c r="D20" i="28"/>
  <c r="F20" i="28" s="1"/>
  <c r="H20" i="28" s="1"/>
  <c r="D19" i="28"/>
  <c r="F19" i="28" s="1"/>
  <c r="H19" i="28" s="1"/>
  <c r="D18" i="28"/>
  <c r="F18" i="28" s="1"/>
  <c r="H18" i="28" s="1"/>
  <c r="D17" i="28"/>
  <c r="F17" i="28" s="1"/>
  <c r="H17" i="28" s="1"/>
  <c r="M16" i="28"/>
  <c r="FM16" i="28" s="1"/>
  <c r="FN16" i="28" s="1"/>
  <c r="O51" i="37" s="1"/>
  <c r="AE51" i="37" s="1"/>
  <c r="D16" i="28"/>
  <c r="F16" i="28" s="1"/>
  <c r="H16" i="28" s="1"/>
  <c r="L15" i="28"/>
  <c r="J15" i="28"/>
  <c r="FO15" i="28" s="1"/>
  <c r="D15" i="28"/>
  <c r="F15" i="28" s="1"/>
  <c r="H15" i="28" s="1"/>
  <c r="L14" i="28"/>
  <c r="J14" i="28"/>
  <c r="FO14" i="28" s="1"/>
  <c r="D14" i="28"/>
  <c r="F14" i="28" s="1"/>
  <c r="H14" i="28" s="1"/>
  <c r="L13" i="28"/>
  <c r="E13" i="28"/>
  <c r="L12" i="28"/>
  <c r="L11" i="28"/>
  <c r="D11" i="28"/>
  <c r="F11" i="28" s="1"/>
  <c r="H11" i="28" s="1"/>
  <c r="L10" i="28"/>
  <c r="D10" i="28"/>
  <c r="F10" i="28" s="1"/>
  <c r="H10" i="28" s="1"/>
  <c r="L9" i="28"/>
  <c r="D9" i="28"/>
  <c r="F9" i="28" s="1"/>
  <c r="H9" i="28" s="1"/>
  <c r="BF28" i="28" l="1"/>
  <c r="BG28" i="28"/>
  <c r="BE28" i="28"/>
  <c r="BH28" i="28"/>
  <c r="BD28" i="28"/>
  <c r="BC28" i="28"/>
  <c r="BF37" i="28"/>
  <c r="BC37" i="28"/>
  <c r="BE37" i="28"/>
  <c r="BI37" i="28"/>
  <c r="BH37" i="28"/>
  <c r="BD37" i="28"/>
  <c r="BG37" i="28"/>
  <c r="BF41" i="28"/>
  <c r="BC41" i="28"/>
  <c r="O41" i="28"/>
  <c r="BE41" i="28"/>
  <c r="BI41" i="28"/>
  <c r="BH41" i="28"/>
  <c r="BD41" i="28"/>
  <c r="BG41" i="28"/>
  <c r="BH15" i="28"/>
  <c r="BD15" i="28"/>
  <c r="BG15" i="28"/>
  <c r="BC15" i="28"/>
  <c r="BE15" i="28"/>
  <c r="BF15" i="28"/>
  <c r="BH25" i="28"/>
  <c r="BD25" i="28"/>
  <c r="BG25" i="28"/>
  <c r="BC25" i="28"/>
  <c r="BE25" i="28"/>
  <c r="BF25" i="28"/>
  <c r="BH27" i="28"/>
  <c r="BD27" i="28"/>
  <c r="BG27" i="28"/>
  <c r="BC27" i="28"/>
  <c r="BE27" i="28"/>
  <c r="BF27" i="28"/>
  <c r="BF10" i="28"/>
  <c r="BG10" i="28"/>
  <c r="BE10" i="28"/>
  <c r="BC10" i="28"/>
  <c r="BH10" i="28"/>
  <c r="BD10" i="28"/>
  <c r="BF12" i="28"/>
  <c r="BC12" i="28"/>
  <c r="BE12" i="28"/>
  <c r="BG12" i="28"/>
  <c r="BH12" i="28"/>
  <c r="BD12" i="28"/>
  <c r="N9" i="28"/>
  <c r="BH9" i="28"/>
  <c r="BD9" i="28"/>
  <c r="BE9" i="28"/>
  <c r="V9" i="28"/>
  <c r="BG9" i="28"/>
  <c r="BC9" i="28"/>
  <c r="BF9" i="28"/>
  <c r="BH11" i="28"/>
  <c r="BD11" i="28"/>
  <c r="BG11" i="28"/>
  <c r="BC11" i="28"/>
  <c r="BE11" i="28"/>
  <c r="BF11" i="28"/>
  <c r="BF14" i="28"/>
  <c r="BE14" i="28"/>
  <c r="BC14" i="28"/>
  <c r="BH14" i="28"/>
  <c r="BD14" i="28"/>
  <c r="BG14" i="28"/>
  <c r="BH34" i="28"/>
  <c r="BD34" i="28"/>
  <c r="BG34" i="28"/>
  <c r="BC34" i="28"/>
  <c r="BF34" i="28"/>
  <c r="BI34" i="28"/>
  <c r="BE34" i="28"/>
  <c r="BH36" i="28"/>
  <c r="BD36" i="28"/>
  <c r="BI36" i="28"/>
  <c r="BE36" i="28"/>
  <c r="BG36" i="28"/>
  <c r="BF36" i="28"/>
  <c r="BH38" i="28"/>
  <c r="BD38" i="28"/>
  <c r="BG38" i="28"/>
  <c r="BC38" i="28"/>
  <c r="BE38" i="28"/>
  <c r="BF38" i="28"/>
  <c r="BI38" i="28"/>
  <c r="BH40" i="28"/>
  <c r="BD40" i="28"/>
  <c r="BI40" i="28"/>
  <c r="BG40" i="28"/>
  <c r="BC40" i="28"/>
  <c r="BE40" i="28"/>
  <c r="BF40" i="28"/>
  <c r="BF39" i="28"/>
  <c r="BC39" i="28"/>
  <c r="BI39" i="28"/>
  <c r="BE39" i="28"/>
  <c r="BH39" i="28"/>
  <c r="BD39" i="28"/>
  <c r="BG39" i="28"/>
  <c r="BH13" i="28"/>
  <c r="BD13" i="28"/>
  <c r="BG13" i="28"/>
  <c r="BC13" i="28"/>
  <c r="BF13" i="28"/>
  <c r="BE13" i="28"/>
  <c r="BF26" i="28"/>
  <c r="BC26" i="28"/>
  <c r="BE26" i="28"/>
  <c r="BH26" i="28"/>
  <c r="BD26" i="28"/>
  <c r="BG26" i="28"/>
  <c r="BF43" i="28"/>
  <c r="BC43" i="28"/>
  <c r="BE43" i="28"/>
  <c r="BI43" i="28"/>
  <c r="BH43" i="28"/>
  <c r="BD43" i="28"/>
  <c r="BG43" i="28"/>
  <c r="BF53" i="28"/>
  <c r="BG53" i="28"/>
  <c r="BE53" i="28"/>
  <c r="BI53" i="28"/>
  <c r="BC53" i="28"/>
  <c r="BH53" i="28"/>
  <c r="BD53" i="28"/>
  <c r="Q13" i="28"/>
  <c r="Y13" i="28"/>
  <c r="AG13" i="28"/>
  <c r="AO13" i="28"/>
  <c r="AW13" i="28"/>
  <c r="BM13" i="28"/>
  <c r="BU13" i="28"/>
  <c r="CC13" i="28"/>
  <c r="CK13" i="28"/>
  <c r="CS13" i="28"/>
  <c r="DA13" i="28"/>
  <c r="DI13" i="28"/>
  <c r="DQ13" i="28"/>
  <c r="DY13" i="28"/>
  <c r="EG13" i="28"/>
  <c r="EO13" i="28"/>
  <c r="EW13" i="28"/>
  <c r="FE13" i="28"/>
  <c r="CD13" i="28"/>
  <c r="DJ13" i="28"/>
  <c r="DZ13" i="28"/>
  <c r="EH13" i="28"/>
  <c r="EX13" i="28"/>
  <c r="O13" i="28"/>
  <c r="CA13" i="28"/>
  <c r="DW13" i="28"/>
  <c r="FK13" i="28"/>
  <c r="AV13" i="28"/>
  <c r="R13" i="28"/>
  <c r="Z13" i="28"/>
  <c r="AH13" i="28"/>
  <c r="AP13" i="28"/>
  <c r="AX13" i="28"/>
  <c r="BN13" i="28"/>
  <c r="BV13" i="28"/>
  <c r="CL13" i="28"/>
  <c r="CT13" i="28"/>
  <c r="DB13" i="28"/>
  <c r="DR13" i="28"/>
  <c r="EP13" i="28"/>
  <c r="FF13" i="28"/>
  <c r="AU13" i="28"/>
  <c r="DG13" i="28"/>
  <c r="EM13" i="28"/>
  <c r="AF13" i="28"/>
  <c r="CR13" i="28"/>
  <c r="EF13" i="28"/>
  <c r="S13" i="28"/>
  <c r="AA13" i="28"/>
  <c r="AI13" i="28"/>
  <c r="AQ13" i="28"/>
  <c r="AY13" i="28"/>
  <c r="BO13" i="28"/>
  <c r="BW13" i="28"/>
  <c r="CE13" i="28"/>
  <c r="CM13" i="28"/>
  <c r="CU13" i="28"/>
  <c r="DC13" i="28"/>
  <c r="DK13" i="28"/>
  <c r="DS13" i="28"/>
  <c r="EA13" i="28"/>
  <c r="EI13" i="28"/>
  <c r="EQ13" i="28"/>
  <c r="EY13" i="28"/>
  <c r="FG13" i="28"/>
  <c r="W13" i="28"/>
  <c r="BS13" i="28"/>
  <c r="CQ13" i="28"/>
  <c r="EE13" i="28"/>
  <c r="P13" i="28"/>
  <c r="CJ13" i="28"/>
  <c r="DP13" i="28"/>
  <c r="FD13" i="28"/>
  <c r="T13" i="28"/>
  <c r="AB13" i="28"/>
  <c r="AJ13" i="28"/>
  <c r="AR13" i="28"/>
  <c r="AZ13" i="28"/>
  <c r="BP13" i="28"/>
  <c r="BX13" i="28"/>
  <c r="CF13" i="28"/>
  <c r="CN13" i="28"/>
  <c r="CV13" i="28"/>
  <c r="DD13" i="28"/>
  <c r="DL13" i="28"/>
  <c r="DT13" i="28"/>
  <c r="EB13" i="28"/>
  <c r="EJ13" i="28"/>
  <c r="ER13" i="28"/>
  <c r="EZ13" i="28"/>
  <c r="FH13" i="28"/>
  <c r="AD13" i="28"/>
  <c r="CP13" i="28"/>
  <c r="DF13" i="28"/>
  <c r="DV13" i="28"/>
  <c r="ET13" i="28"/>
  <c r="FJ13" i="28"/>
  <c r="AM13" i="28"/>
  <c r="BK13" i="28"/>
  <c r="CI13" i="28"/>
  <c r="DO13" i="28"/>
  <c r="EU13" i="28"/>
  <c r="AN13" i="28"/>
  <c r="BT13" i="28"/>
  <c r="CZ13" i="28"/>
  <c r="DX13" i="28"/>
  <c r="EV13" i="28"/>
  <c r="U13" i="28"/>
  <c r="AC13" i="28"/>
  <c r="AK13" i="28"/>
  <c r="AS13" i="28"/>
  <c r="BA13" i="28"/>
  <c r="BQ13" i="28"/>
  <c r="BY13" i="28"/>
  <c r="CG13" i="28"/>
  <c r="CO13" i="28"/>
  <c r="CW13" i="28"/>
  <c r="DE13" i="28"/>
  <c r="DM13" i="28"/>
  <c r="DU13" i="28"/>
  <c r="EC13" i="28"/>
  <c r="EK13" i="28"/>
  <c r="ES13" i="28"/>
  <c r="FA13" i="28"/>
  <c r="FI13" i="28"/>
  <c r="BB13" i="28"/>
  <c r="EL13" i="28"/>
  <c r="AE13" i="28"/>
  <c r="CY13" i="28"/>
  <c r="FC13" i="28"/>
  <c r="N13" i="28"/>
  <c r="V13" i="28"/>
  <c r="AL13" i="28"/>
  <c r="AT13" i="28"/>
  <c r="BJ13" i="28"/>
  <c r="BR13" i="28"/>
  <c r="BZ13" i="28"/>
  <c r="CH13" i="28"/>
  <c r="CX13" i="28"/>
  <c r="DN13" i="28"/>
  <c r="ED13" i="28"/>
  <c r="FB13" i="28"/>
  <c r="X13" i="28"/>
  <c r="BL13" i="28"/>
  <c r="CB13" i="28"/>
  <c r="DH13" i="28"/>
  <c r="EN13" i="28"/>
  <c r="FL13" i="28"/>
  <c r="H56" i="29"/>
  <c r="R7" i="2"/>
  <c r="R18" i="2"/>
  <c r="R26" i="2"/>
  <c r="Q16" i="2"/>
  <c r="Q24" i="2"/>
  <c r="Q15" i="2"/>
  <c r="R6" i="2"/>
  <c r="R19" i="2"/>
  <c r="R27" i="2"/>
  <c r="Q17" i="2"/>
  <c r="Q25" i="2"/>
  <c r="R17" i="2"/>
  <c r="R8" i="2"/>
  <c r="R20" i="2"/>
  <c r="Q8" i="2"/>
  <c r="Q18" i="2"/>
  <c r="Q26" i="2"/>
  <c r="Q23" i="2"/>
  <c r="R9" i="2"/>
  <c r="R21" i="2"/>
  <c r="Q7" i="2"/>
  <c r="Q19" i="2"/>
  <c r="Q27" i="2"/>
  <c r="R12" i="2"/>
  <c r="R22" i="2"/>
  <c r="Q6" i="2"/>
  <c r="Q20" i="2"/>
  <c r="R25" i="2"/>
  <c r="R15" i="2"/>
  <c r="R23" i="2"/>
  <c r="Q9" i="2"/>
  <c r="Q21" i="2"/>
  <c r="K21" i="2" s="1"/>
  <c r="I21" i="2" s="1"/>
  <c r="R16" i="2"/>
  <c r="R24" i="2"/>
  <c r="Q12" i="2"/>
  <c r="Q22" i="2"/>
  <c r="Q10" i="2"/>
  <c r="R10" i="2"/>
  <c r="Q14" i="2"/>
  <c r="R14" i="2"/>
  <c r="R13" i="2"/>
  <c r="Q13" i="2"/>
  <c r="R11" i="2"/>
  <c r="Q11" i="2"/>
  <c r="R5" i="2"/>
  <c r="Q5" i="2"/>
  <c r="R40" i="28"/>
  <c r="Z40" i="28"/>
  <c r="AH40" i="28"/>
  <c r="AP40" i="28"/>
  <c r="AX40" i="28"/>
  <c r="BN40" i="28"/>
  <c r="BV40" i="28"/>
  <c r="CD40" i="28"/>
  <c r="CL40" i="28"/>
  <c r="CT40" i="28"/>
  <c r="DB40" i="28"/>
  <c r="DJ40" i="28"/>
  <c r="DR40" i="28"/>
  <c r="DZ40" i="28"/>
  <c r="EH40" i="28"/>
  <c r="EP40" i="28"/>
  <c r="EX40" i="28"/>
  <c r="FF40" i="28"/>
  <c r="T40" i="28"/>
  <c r="AB40" i="28"/>
  <c r="AJ40" i="28"/>
  <c r="AR40" i="28"/>
  <c r="AZ40" i="28"/>
  <c r="BP40" i="28"/>
  <c r="BX40" i="28"/>
  <c r="CF40" i="28"/>
  <c r="CN40" i="28"/>
  <c r="CV40" i="28"/>
  <c r="DD40" i="28"/>
  <c r="DL40" i="28"/>
  <c r="DT40" i="28"/>
  <c r="EB40" i="28"/>
  <c r="EJ40" i="28"/>
  <c r="ER40" i="28"/>
  <c r="EZ40" i="28"/>
  <c r="FH40" i="28"/>
  <c r="U40" i="28"/>
  <c r="AC40" i="28"/>
  <c r="AK40" i="28"/>
  <c r="AS40" i="28"/>
  <c r="BA40" i="28"/>
  <c r="BQ40" i="28"/>
  <c r="BY40" i="28"/>
  <c r="CG40" i="28"/>
  <c r="CO40" i="28"/>
  <c r="CW40" i="28"/>
  <c r="DE40" i="28"/>
  <c r="DM40" i="28"/>
  <c r="DU40" i="28"/>
  <c r="EC40" i="28"/>
  <c r="EK40" i="28"/>
  <c r="ES40" i="28"/>
  <c r="FA40" i="28"/>
  <c r="FI40" i="28"/>
  <c r="N40" i="28"/>
  <c r="V40" i="28"/>
  <c r="AD40" i="28"/>
  <c r="AL40" i="28"/>
  <c r="AT40" i="28"/>
  <c r="BB40" i="28"/>
  <c r="BJ40" i="28"/>
  <c r="BR40" i="28"/>
  <c r="BZ40" i="28"/>
  <c r="CH40" i="28"/>
  <c r="CP40" i="28"/>
  <c r="CX40" i="28"/>
  <c r="DF40" i="28"/>
  <c r="DN40" i="28"/>
  <c r="DV40" i="28"/>
  <c r="ED40" i="28"/>
  <c r="EL40" i="28"/>
  <c r="ET40" i="28"/>
  <c r="FB40" i="28"/>
  <c r="FJ40" i="28"/>
  <c r="O40" i="28"/>
  <c r="W40" i="28"/>
  <c r="AE40" i="28"/>
  <c r="AM40" i="28"/>
  <c r="AU40" i="28"/>
  <c r="BK40" i="28"/>
  <c r="BS40" i="28"/>
  <c r="CA40" i="28"/>
  <c r="CI40" i="28"/>
  <c r="CQ40" i="28"/>
  <c r="CY40" i="28"/>
  <c r="DG40" i="28"/>
  <c r="DO40" i="28"/>
  <c r="DW40" i="28"/>
  <c r="EE40" i="28"/>
  <c r="EM40" i="28"/>
  <c r="EU40" i="28"/>
  <c r="FC40" i="28"/>
  <c r="FK40" i="28"/>
  <c r="AG40" i="28"/>
  <c r="BW40" i="28"/>
  <c r="CS40" i="28"/>
  <c r="DP40" i="28"/>
  <c r="EI40" i="28"/>
  <c r="FE40" i="28"/>
  <c r="P40" i="28"/>
  <c r="AI40" i="28"/>
  <c r="CB40" i="28"/>
  <c r="CU40" i="28"/>
  <c r="DQ40" i="28"/>
  <c r="EN40" i="28"/>
  <c r="FG40" i="28"/>
  <c r="X40" i="28"/>
  <c r="AQ40" i="28"/>
  <c r="BM40" i="28"/>
  <c r="CJ40" i="28"/>
  <c r="DC40" i="28"/>
  <c r="DY40" i="28"/>
  <c r="EV40" i="28"/>
  <c r="AV40" i="28"/>
  <c r="CC40" i="28"/>
  <c r="DI40" i="28"/>
  <c r="EQ40" i="28"/>
  <c r="Q40" i="28"/>
  <c r="AW40" i="28"/>
  <c r="CE40" i="28"/>
  <c r="DK40" i="28"/>
  <c r="EW40" i="28"/>
  <c r="AA40" i="28"/>
  <c r="BL40" i="28"/>
  <c r="CR40" i="28"/>
  <c r="EA40" i="28"/>
  <c r="FL40" i="28"/>
  <c r="AY40" i="28"/>
  <c r="DA40" i="28"/>
  <c r="FD40" i="28"/>
  <c r="CM40" i="28"/>
  <c r="DH40" i="28"/>
  <c r="BO40" i="28"/>
  <c r="DS40" i="28"/>
  <c r="S40" i="28"/>
  <c r="BT40" i="28"/>
  <c r="DX40" i="28"/>
  <c r="Y40" i="28"/>
  <c r="BU40" i="28"/>
  <c r="EF40" i="28"/>
  <c r="AF40" i="28"/>
  <c r="CK40" i="28"/>
  <c r="EG40" i="28"/>
  <c r="AN40" i="28"/>
  <c r="EO40" i="28"/>
  <c r="AO40" i="28"/>
  <c r="CZ40" i="28"/>
  <c r="EY40" i="28"/>
  <c r="P46" i="28"/>
  <c r="X46" i="28"/>
  <c r="AF46" i="28"/>
  <c r="AN46" i="28"/>
  <c r="AV46" i="28"/>
  <c r="BL46" i="28"/>
  <c r="BT46" i="28"/>
  <c r="CB46" i="28"/>
  <c r="CJ46" i="28"/>
  <c r="CR46" i="28"/>
  <c r="CZ46" i="28"/>
  <c r="DH46" i="28"/>
  <c r="DP46" i="28"/>
  <c r="DX46" i="28"/>
  <c r="EF46" i="28"/>
  <c r="EN46" i="28"/>
  <c r="EV46" i="28"/>
  <c r="FD46" i="28"/>
  <c r="FL46" i="28"/>
  <c r="Q46" i="28"/>
  <c r="Y46" i="28"/>
  <c r="AG46" i="28"/>
  <c r="AO46" i="28"/>
  <c r="AW46" i="28"/>
  <c r="BM46" i="28"/>
  <c r="BU46" i="28"/>
  <c r="CC46" i="28"/>
  <c r="CK46" i="28"/>
  <c r="CS46" i="28"/>
  <c r="DA46" i="28"/>
  <c r="DI46" i="28"/>
  <c r="DQ46" i="28"/>
  <c r="DY46" i="28"/>
  <c r="T46" i="28"/>
  <c r="AB46" i="28"/>
  <c r="AJ46" i="28"/>
  <c r="AR46" i="28"/>
  <c r="AZ46" i="28"/>
  <c r="BP46" i="28"/>
  <c r="BX46" i="28"/>
  <c r="CF46" i="28"/>
  <c r="CN46" i="28"/>
  <c r="CV46" i="28"/>
  <c r="DD46" i="28"/>
  <c r="DL46" i="28"/>
  <c r="DT46" i="28"/>
  <c r="EB46" i="28"/>
  <c r="EJ46" i="28"/>
  <c r="ER46" i="28"/>
  <c r="EZ46" i="28"/>
  <c r="FH46" i="28"/>
  <c r="O46" i="28"/>
  <c r="AC46" i="28"/>
  <c r="AP46" i="28"/>
  <c r="BB46" i="28"/>
  <c r="BO46" i="28"/>
  <c r="CA46" i="28"/>
  <c r="CO46" i="28"/>
  <c r="DB46" i="28"/>
  <c r="DN46" i="28"/>
  <c r="EA46" i="28"/>
  <c r="EL46" i="28"/>
  <c r="EW46" i="28"/>
  <c r="FG46" i="28"/>
  <c r="DK46" i="28"/>
  <c r="R46" i="28"/>
  <c r="AD46" i="28"/>
  <c r="AQ46" i="28"/>
  <c r="BQ46" i="28"/>
  <c r="CD46" i="28"/>
  <c r="CP46" i="28"/>
  <c r="DC46" i="28"/>
  <c r="DO46" i="28"/>
  <c r="EC46" i="28"/>
  <c r="EM46" i="28"/>
  <c r="EX46" i="28"/>
  <c r="FI46" i="28"/>
  <c r="AY46" i="28"/>
  <c r="ET46" i="28"/>
  <c r="S46" i="28"/>
  <c r="AE46" i="28"/>
  <c r="AS46" i="28"/>
  <c r="BR46" i="28"/>
  <c r="CE46" i="28"/>
  <c r="CQ46" i="28"/>
  <c r="DE46" i="28"/>
  <c r="DR46" i="28"/>
  <c r="ED46" i="28"/>
  <c r="EO46" i="28"/>
  <c r="EY46" i="28"/>
  <c r="FJ46" i="28"/>
  <c r="BY46" i="28"/>
  <c r="U46" i="28"/>
  <c r="AH46" i="28"/>
  <c r="AT46" i="28"/>
  <c r="BS46" i="28"/>
  <c r="CG46" i="28"/>
  <c r="CT46" i="28"/>
  <c r="DF46" i="28"/>
  <c r="DS46" i="28"/>
  <c r="EE46" i="28"/>
  <c r="EP46" i="28"/>
  <c r="FA46" i="28"/>
  <c r="FK46" i="28"/>
  <c r="Z46" i="28"/>
  <c r="CL46" i="28"/>
  <c r="EI46" i="28"/>
  <c r="V46" i="28"/>
  <c r="AI46" i="28"/>
  <c r="AU46" i="28"/>
  <c r="BV46" i="28"/>
  <c r="CH46" i="28"/>
  <c r="CU46" i="28"/>
  <c r="DG46" i="28"/>
  <c r="DU46" i="28"/>
  <c r="EG46" i="28"/>
  <c r="EQ46" i="28"/>
  <c r="FB46" i="28"/>
  <c r="FE46" i="28"/>
  <c r="W46" i="28"/>
  <c r="AK46" i="28"/>
  <c r="AX46" i="28"/>
  <c r="BJ46" i="28"/>
  <c r="BW46" i="28"/>
  <c r="CI46" i="28"/>
  <c r="CW46" i="28"/>
  <c r="DJ46" i="28"/>
  <c r="DV46" i="28"/>
  <c r="EH46" i="28"/>
  <c r="ES46" i="28"/>
  <c r="FC46" i="28"/>
  <c r="CX46" i="28"/>
  <c r="N46" i="28"/>
  <c r="AA46" i="28"/>
  <c r="AM46" i="28"/>
  <c r="BA46" i="28"/>
  <c r="BN46" i="28"/>
  <c r="BZ46" i="28"/>
  <c r="CM46" i="28"/>
  <c r="CY46" i="28"/>
  <c r="DM46" i="28"/>
  <c r="DZ46" i="28"/>
  <c r="EK46" i="28"/>
  <c r="EU46" i="28"/>
  <c r="FF46" i="28"/>
  <c r="AL46" i="28"/>
  <c r="BK46" i="28"/>
  <c r="DW46" i="28"/>
  <c r="U37" i="28"/>
  <c r="AC37" i="28"/>
  <c r="AK37" i="28"/>
  <c r="AS37" i="28"/>
  <c r="BA37" i="28"/>
  <c r="BQ37" i="28"/>
  <c r="BY37" i="28"/>
  <c r="CG37" i="28"/>
  <c r="CO37" i="28"/>
  <c r="CW37" i="28"/>
  <c r="DE37" i="28"/>
  <c r="DM37" i="28"/>
  <c r="DU37" i="28"/>
  <c r="EC37" i="28"/>
  <c r="EK37" i="28"/>
  <c r="ES37" i="28"/>
  <c r="FA37" i="28"/>
  <c r="FI37" i="28"/>
  <c r="N37" i="28"/>
  <c r="V37" i="28"/>
  <c r="AD37" i="28"/>
  <c r="AL37" i="28"/>
  <c r="AT37" i="28"/>
  <c r="BB37" i="28"/>
  <c r="O37" i="28"/>
  <c r="W37" i="28"/>
  <c r="AE37" i="28"/>
  <c r="AM37" i="28"/>
  <c r="AU37" i="28"/>
  <c r="P37" i="28"/>
  <c r="X37" i="28"/>
  <c r="AF37" i="28"/>
  <c r="AN37" i="28"/>
  <c r="AV37" i="28"/>
  <c r="BL37" i="28"/>
  <c r="BT37" i="28"/>
  <c r="CB37" i="28"/>
  <c r="CJ37" i="28"/>
  <c r="CR37" i="28"/>
  <c r="CZ37" i="28"/>
  <c r="DH37" i="28"/>
  <c r="DP37" i="28"/>
  <c r="DX37" i="28"/>
  <c r="EF37" i="28"/>
  <c r="EN37" i="28"/>
  <c r="EV37" i="28"/>
  <c r="FD37" i="28"/>
  <c r="FL37" i="28"/>
  <c r="Q37" i="28"/>
  <c r="Y37" i="28"/>
  <c r="AG37" i="28"/>
  <c r="AO37" i="28"/>
  <c r="AW37" i="28"/>
  <c r="BM37" i="28"/>
  <c r="BU37" i="28"/>
  <c r="CC37" i="28"/>
  <c r="CK37" i="28"/>
  <c r="CS37" i="28"/>
  <c r="DA37" i="28"/>
  <c r="DI37" i="28"/>
  <c r="DQ37" i="28"/>
  <c r="DY37" i="28"/>
  <c r="EG37" i="28"/>
  <c r="EO37" i="28"/>
  <c r="EW37" i="28"/>
  <c r="FE37" i="28"/>
  <c r="R37" i="28"/>
  <c r="Z37" i="28"/>
  <c r="AH37" i="28"/>
  <c r="AP37" i="28"/>
  <c r="AX37" i="28"/>
  <c r="BN37" i="28"/>
  <c r="BV37" i="28"/>
  <c r="CD37" i="28"/>
  <c r="CL37" i="28"/>
  <c r="CT37" i="28"/>
  <c r="DB37" i="28"/>
  <c r="DJ37" i="28"/>
  <c r="DR37" i="28"/>
  <c r="DZ37" i="28"/>
  <c r="EH37" i="28"/>
  <c r="EP37" i="28"/>
  <c r="EX37" i="28"/>
  <c r="FF37" i="28"/>
  <c r="T37" i="28"/>
  <c r="AB37" i="28"/>
  <c r="AJ37" i="28"/>
  <c r="AR37" i="28"/>
  <c r="AZ37" i="28"/>
  <c r="BP37" i="28"/>
  <c r="BX37" i="28"/>
  <c r="CF37" i="28"/>
  <c r="CN37" i="28"/>
  <c r="CV37" i="28"/>
  <c r="DD37" i="28"/>
  <c r="DL37" i="28"/>
  <c r="DT37" i="28"/>
  <c r="EB37" i="28"/>
  <c r="EJ37" i="28"/>
  <c r="ER37" i="28"/>
  <c r="EZ37" i="28"/>
  <c r="FH37" i="28"/>
  <c r="BJ37" i="28"/>
  <c r="CE37" i="28"/>
  <c r="CY37" i="28"/>
  <c r="DV37" i="28"/>
  <c r="EQ37" i="28"/>
  <c r="FK37" i="28"/>
  <c r="AA37" i="28"/>
  <c r="BO37" i="28"/>
  <c r="CI37" i="28"/>
  <c r="DF37" i="28"/>
  <c r="EA37" i="28"/>
  <c r="EU37" i="28"/>
  <c r="AI37" i="28"/>
  <c r="BR37" i="28"/>
  <c r="CM37" i="28"/>
  <c r="DG37" i="28"/>
  <c r="ED37" i="28"/>
  <c r="EY37" i="28"/>
  <c r="AQ37" i="28"/>
  <c r="BS37" i="28"/>
  <c r="CP37" i="28"/>
  <c r="DK37" i="28"/>
  <c r="EE37" i="28"/>
  <c r="FB37" i="28"/>
  <c r="AY37" i="28"/>
  <c r="BW37" i="28"/>
  <c r="CQ37" i="28"/>
  <c r="DN37" i="28"/>
  <c r="EI37" i="28"/>
  <c r="FC37" i="28"/>
  <c r="DO37" i="28"/>
  <c r="BK37" i="28"/>
  <c r="DS37" i="28"/>
  <c r="CH37" i="28"/>
  <c r="EM37" i="28"/>
  <c r="S37" i="28"/>
  <c r="EL37" i="28"/>
  <c r="ET37" i="28"/>
  <c r="CU37" i="28"/>
  <c r="BZ37" i="28"/>
  <c r="FJ37" i="28"/>
  <c r="CA37" i="28"/>
  <c r="CX37" i="28"/>
  <c r="DC37" i="28"/>
  <c r="DW37" i="28"/>
  <c r="FG37" i="28"/>
  <c r="W41" i="28"/>
  <c r="AE41" i="28"/>
  <c r="AM41" i="28"/>
  <c r="AU41" i="28"/>
  <c r="BK41" i="28"/>
  <c r="BS41" i="28"/>
  <c r="CA41" i="28"/>
  <c r="CI41" i="28"/>
  <c r="CQ41" i="28"/>
  <c r="CY41" i="28"/>
  <c r="DG41" i="28"/>
  <c r="DO41" i="28"/>
  <c r="DW41" i="28"/>
  <c r="EE41" i="28"/>
  <c r="EM41" i="28"/>
  <c r="EU41" i="28"/>
  <c r="FC41" i="28"/>
  <c r="FK41" i="28"/>
  <c r="Q41" i="28"/>
  <c r="Y41" i="28"/>
  <c r="AG41" i="28"/>
  <c r="AO41" i="28"/>
  <c r="AW41" i="28"/>
  <c r="BM41" i="28"/>
  <c r="BU41" i="28"/>
  <c r="CC41" i="28"/>
  <c r="CK41" i="28"/>
  <c r="CS41" i="28"/>
  <c r="DA41" i="28"/>
  <c r="DI41" i="28"/>
  <c r="DQ41" i="28"/>
  <c r="DY41" i="28"/>
  <c r="EG41" i="28"/>
  <c r="EO41" i="28"/>
  <c r="EW41" i="28"/>
  <c r="FE41" i="28"/>
  <c r="R41" i="28"/>
  <c r="Z41" i="28"/>
  <c r="AH41" i="28"/>
  <c r="AP41" i="28"/>
  <c r="AX41" i="28"/>
  <c r="BN41" i="28"/>
  <c r="BV41" i="28"/>
  <c r="CD41" i="28"/>
  <c r="CL41" i="28"/>
  <c r="CT41" i="28"/>
  <c r="DB41" i="28"/>
  <c r="DJ41" i="28"/>
  <c r="DR41" i="28"/>
  <c r="DZ41" i="28"/>
  <c r="EH41" i="28"/>
  <c r="EP41" i="28"/>
  <c r="EX41" i="28"/>
  <c r="FF41" i="28"/>
  <c r="S41" i="28"/>
  <c r="AA41" i="28"/>
  <c r="AI41" i="28"/>
  <c r="AQ41" i="28"/>
  <c r="AY41" i="28"/>
  <c r="BO41" i="28"/>
  <c r="BW41" i="28"/>
  <c r="CE41" i="28"/>
  <c r="CM41" i="28"/>
  <c r="CU41" i="28"/>
  <c r="DC41" i="28"/>
  <c r="DK41" i="28"/>
  <c r="DS41" i="28"/>
  <c r="EA41" i="28"/>
  <c r="EI41" i="28"/>
  <c r="EQ41" i="28"/>
  <c r="EY41" i="28"/>
  <c r="FG41" i="28"/>
  <c r="T41" i="28"/>
  <c r="AB41" i="28"/>
  <c r="AJ41" i="28"/>
  <c r="AR41" i="28"/>
  <c r="AZ41" i="28"/>
  <c r="BP41" i="28"/>
  <c r="BX41" i="28"/>
  <c r="CF41" i="28"/>
  <c r="CN41" i="28"/>
  <c r="CV41" i="28"/>
  <c r="DD41" i="28"/>
  <c r="DL41" i="28"/>
  <c r="DT41" i="28"/>
  <c r="EB41" i="28"/>
  <c r="EJ41" i="28"/>
  <c r="ER41" i="28"/>
  <c r="EZ41" i="28"/>
  <c r="FH41" i="28"/>
  <c r="AC41" i="28"/>
  <c r="AV41" i="28"/>
  <c r="BR41" i="28"/>
  <c r="CO41" i="28"/>
  <c r="DH41" i="28"/>
  <c r="ED41" i="28"/>
  <c r="FA41" i="28"/>
  <c r="AD41" i="28"/>
  <c r="BA41" i="28"/>
  <c r="BT41" i="28"/>
  <c r="CP41" i="28"/>
  <c r="DM41" i="28"/>
  <c r="EF41" i="28"/>
  <c r="FB41" i="28"/>
  <c r="P41" i="28"/>
  <c r="AL41" i="28"/>
  <c r="CB41" i="28"/>
  <c r="CX41" i="28"/>
  <c r="DU41" i="28"/>
  <c r="EN41" i="28"/>
  <c r="FJ41" i="28"/>
  <c r="X41" i="28"/>
  <c r="BJ41" i="28"/>
  <c r="CR41" i="28"/>
  <c r="DX41" i="28"/>
  <c r="FI41" i="28"/>
  <c r="AF41" i="28"/>
  <c r="BL41" i="28"/>
  <c r="CW41" i="28"/>
  <c r="EC41" i="28"/>
  <c r="FL41" i="28"/>
  <c r="AS41" i="28"/>
  <c r="BZ41" i="28"/>
  <c r="DF41" i="28"/>
  <c r="ES41" i="28"/>
  <c r="DN41" i="28"/>
  <c r="AT41" i="28"/>
  <c r="EV41" i="28"/>
  <c r="N41" i="28"/>
  <c r="BQ41" i="28"/>
  <c r="DP41" i="28"/>
  <c r="U41" i="28"/>
  <c r="BY41" i="28"/>
  <c r="DV41" i="28"/>
  <c r="V41" i="28"/>
  <c r="CG41" i="28"/>
  <c r="EK41" i="28"/>
  <c r="AK41" i="28"/>
  <c r="CH41" i="28"/>
  <c r="EL41" i="28"/>
  <c r="AN41" i="28"/>
  <c r="CJ41" i="28"/>
  <c r="ET41" i="28"/>
  <c r="CZ41" i="28"/>
  <c r="BB41" i="28"/>
  <c r="DE41" i="28"/>
  <c r="FD41" i="28"/>
  <c r="S34" i="28"/>
  <c r="AA34" i="28"/>
  <c r="AI34" i="28"/>
  <c r="AQ34" i="28"/>
  <c r="AY34" i="28"/>
  <c r="BO34" i="28"/>
  <c r="BW34" i="28"/>
  <c r="CE34" i="28"/>
  <c r="CM34" i="28"/>
  <c r="CU34" i="28"/>
  <c r="DC34" i="28"/>
  <c r="DK34" i="28"/>
  <c r="DS34" i="28"/>
  <c r="EA34" i="28"/>
  <c r="EI34" i="28"/>
  <c r="EQ34" i="28"/>
  <c r="EY34" i="28"/>
  <c r="FG34" i="28"/>
  <c r="T34" i="28"/>
  <c r="AB34" i="28"/>
  <c r="AJ34" i="28"/>
  <c r="AR34" i="28"/>
  <c r="AZ34" i="28"/>
  <c r="BP34" i="28"/>
  <c r="BX34" i="28"/>
  <c r="CF34" i="28"/>
  <c r="CN34" i="28"/>
  <c r="CV34" i="28"/>
  <c r="DD34" i="28"/>
  <c r="DL34" i="28"/>
  <c r="DT34" i="28"/>
  <c r="EB34" i="28"/>
  <c r="EJ34" i="28"/>
  <c r="ER34" i="28"/>
  <c r="EZ34" i="28"/>
  <c r="FH34" i="28"/>
  <c r="U34" i="28"/>
  <c r="AC34" i="28"/>
  <c r="AK34" i="28"/>
  <c r="AS34" i="28"/>
  <c r="BA34" i="28"/>
  <c r="BQ34" i="28"/>
  <c r="BY34" i="28"/>
  <c r="CG34" i="28"/>
  <c r="CO34" i="28"/>
  <c r="CW34" i="28"/>
  <c r="DE34" i="28"/>
  <c r="DM34" i="28"/>
  <c r="DU34" i="28"/>
  <c r="EC34" i="28"/>
  <c r="EK34" i="28"/>
  <c r="ES34" i="28"/>
  <c r="FA34" i="28"/>
  <c r="FI34" i="28"/>
  <c r="N34" i="28"/>
  <c r="V34" i="28"/>
  <c r="AD34" i="28"/>
  <c r="AL34" i="28"/>
  <c r="AT34" i="28"/>
  <c r="BB34" i="28"/>
  <c r="BJ34" i="28"/>
  <c r="BR34" i="28"/>
  <c r="BZ34" i="28"/>
  <c r="CH34" i="28"/>
  <c r="CP34" i="28"/>
  <c r="CX34" i="28"/>
  <c r="DF34" i="28"/>
  <c r="DN34" i="28"/>
  <c r="DV34" i="28"/>
  <c r="ED34" i="28"/>
  <c r="EL34" i="28"/>
  <c r="ET34" i="28"/>
  <c r="FB34" i="28"/>
  <c r="FJ34" i="28"/>
  <c r="O34" i="28"/>
  <c r="W34" i="28"/>
  <c r="AE34" i="28"/>
  <c r="AM34" i="28"/>
  <c r="AU34" i="28"/>
  <c r="BK34" i="28"/>
  <c r="BS34" i="28"/>
  <c r="CA34" i="28"/>
  <c r="CI34" i="28"/>
  <c r="CQ34" i="28"/>
  <c r="CY34" i="28"/>
  <c r="DG34" i="28"/>
  <c r="DO34" i="28"/>
  <c r="DW34" i="28"/>
  <c r="EE34" i="28"/>
  <c r="EM34" i="28"/>
  <c r="EU34" i="28"/>
  <c r="FC34" i="28"/>
  <c r="FK34" i="28"/>
  <c r="P34" i="28"/>
  <c r="X34" i="28"/>
  <c r="AF34" i="28"/>
  <c r="AN34" i="28"/>
  <c r="AV34" i="28"/>
  <c r="BL34" i="28"/>
  <c r="BT34" i="28"/>
  <c r="CB34" i="28"/>
  <c r="CJ34" i="28"/>
  <c r="CR34" i="28"/>
  <c r="CZ34" i="28"/>
  <c r="DH34" i="28"/>
  <c r="DP34" i="28"/>
  <c r="DX34" i="28"/>
  <c r="EF34" i="28"/>
  <c r="EN34" i="28"/>
  <c r="EV34" i="28"/>
  <c r="FD34" i="28"/>
  <c r="FL34" i="28"/>
  <c r="R34" i="28"/>
  <c r="Z34" i="28"/>
  <c r="AH34" i="28"/>
  <c r="AP34" i="28"/>
  <c r="AX34" i="28"/>
  <c r="BN34" i="28"/>
  <c r="BV34" i="28"/>
  <c r="CD34" i="28"/>
  <c r="CL34" i="28"/>
  <c r="CT34" i="28"/>
  <c r="DB34" i="28"/>
  <c r="DJ34" i="28"/>
  <c r="DR34" i="28"/>
  <c r="DZ34" i="28"/>
  <c r="EH34" i="28"/>
  <c r="EP34" i="28"/>
  <c r="EX34" i="28"/>
  <c r="FF34" i="28"/>
  <c r="BM34" i="28"/>
  <c r="DY34" i="28"/>
  <c r="Q34" i="28"/>
  <c r="CC34" i="28"/>
  <c r="EO34" i="28"/>
  <c r="Y34" i="28"/>
  <c r="CK34" i="28"/>
  <c r="EW34" i="28"/>
  <c r="AG34" i="28"/>
  <c r="CS34" i="28"/>
  <c r="FE34" i="28"/>
  <c r="AO34" i="28"/>
  <c r="DA34" i="28"/>
  <c r="AW34" i="28"/>
  <c r="DQ34" i="28"/>
  <c r="BU34" i="28"/>
  <c r="DI34" i="28"/>
  <c r="EG34" i="28"/>
  <c r="R38" i="28"/>
  <c r="Z38" i="28"/>
  <c r="AH38" i="28"/>
  <c r="AP38" i="28"/>
  <c r="AX38" i="28"/>
  <c r="BN38" i="28"/>
  <c r="BV38" i="28"/>
  <c r="CD38" i="28"/>
  <c r="CL38" i="28"/>
  <c r="CT38" i="28"/>
  <c r="U38" i="28"/>
  <c r="AC38" i="28"/>
  <c r="AK38" i="28"/>
  <c r="AS38" i="28"/>
  <c r="BA38" i="28"/>
  <c r="BQ38" i="28"/>
  <c r="BY38" i="28"/>
  <c r="CG38" i="28"/>
  <c r="CO38" i="28"/>
  <c r="CW38" i="28"/>
  <c r="DE38" i="28"/>
  <c r="DM38" i="28"/>
  <c r="DU38" i="28"/>
  <c r="EC38" i="28"/>
  <c r="EK38" i="28"/>
  <c r="ES38" i="28"/>
  <c r="FA38" i="28"/>
  <c r="FI38" i="28"/>
  <c r="N38" i="28"/>
  <c r="V38" i="28"/>
  <c r="AD38" i="28"/>
  <c r="AL38" i="28"/>
  <c r="AT38" i="28"/>
  <c r="BB38" i="28"/>
  <c r="BJ38" i="28"/>
  <c r="BR38" i="28"/>
  <c r="BZ38" i="28"/>
  <c r="CH38" i="28"/>
  <c r="CP38" i="28"/>
  <c r="CX38" i="28"/>
  <c r="DF38" i="28"/>
  <c r="DN38" i="28"/>
  <c r="DV38" i="28"/>
  <c r="ED38" i="28"/>
  <c r="EL38" i="28"/>
  <c r="ET38" i="28"/>
  <c r="FB38" i="28"/>
  <c r="FJ38" i="28"/>
  <c r="O38" i="28"/>
  <c r="W38" i="28"/>
  <c r="AE38" i="28"/>
  <c r="AM38" i="28"/>
  <c r="AU38" i="28"/>
  <c r="BK38" i="28"/>
  <c r="BS38" i="28"/>
  <c r="CA38" i="28"/>
  <c r="CI38" i="28"/>
  <c r="CQ38" i="28"/>
  <c r="CY38" i="28"/>
  <c r="DG38" i="28"/>
  <c r="DO38" i="28"/>
  <c r="DW38" i="28"/>
  <c r="EE38" i="28"/>
  <c r="EM38" i="28"/>
  <c r="EU38" i="28"/>
  <c r="FC38" i="28"/>
  <c r="FK38" i="28"/>
  <c r="Q38" i="28"/>
  <c r="Y38" i="28"/>
  <c r="AG38" i="28"/>
  <c r="AO38" i="28"/>
  <c r="AW38" i="28"/>
  <c r="BM38" i="28"/>
  <c r="BU38" i="28"/>
  <c r="CC38" i="28"/>
  <c r="CK38" i="28"/>
  <c r="CS38" i="28"/>
  <c r="DA38" i="28"/>
  <c r="DI38" i="28"/>
  <c r="DQ38" i="28"/>
  <c r="DY38" i="28"/>
  <c r="EG38" i="28"/>
  <c r="EO38" i="28"/>
  <c r="EW38" i="28"/>
  <c r="FE38" i="28"/>
  <c r="AI38" i="28"/>
  <c r="BX38" i="28"/>
  <c r="CU38" i="28"/>
  <c r="DK38" i="28"/>
  <c r="EA38" i="28"/>
  <c r="EQ38" i="28"/>
  <c r="FG38" i="28"/>
  <c r="S38" i="28"/>
  <c r="AN38" i="28"/>
  <c r="CE38" i="28"/>
  <c r="CZ38" i="28"/>
  <c r="DP38" i="28"/>
  <c r="EF38" i="28"/>
  <c r="EV38" i="28"/>
  <c r="FL38" i="28"/>
  <c r="T38" i="28"/>
  <c r="AQ38" i="28"/>
  <c r="BL38" i="28"/>
  <c r="CF38" i="28"/>
  <c r="DB38" i="28"/>
  <c r="DR38" i="28"/>
  <c r="EH38" i="28"/>
  <c r="EX38" i="28"/>
  <c r="X38" i="28"/>
  <c r="AR38" i="28"/>
  <c r="BO38" i="28"/>
  <c r="CJ38" i="28"/>
  <c r="DC38" i="28"/>
  <c r="DS38" i="28"/>
  <c r="EI38" i="28"/>
  <c r="EY38" i="28"/>
  <c r="AA38" i="28"/>
  <c r="AV38" i="28"/>
  <c r="BP38" i="28"/>
  <c r="CM38" i="28"/>
  <c r="DD38" i="28"/>
  <c r="DT38" i="28"/>
  <c r="EJ38" i="28"/>
  <c r="EZ38" i="28"/>
  <c r="P38" i="28"/>
  <c r="BW38" i="28"/>
  <c r="DX38" i="28"/>
  <c r="FH38" i="28"/>
  <c r="AB38" i="28"/>
  <c r="CB38" i="28"/>
  <c r="DZ38" i="28"/>
  <c r="AY38" i="28"/>
  <c r="CV38" i="28"/>
  <c r="EP38" i="28"/>
  <c r="BT38" i="28"/>
  <c r="ER38" i="28"/>
  <c r="CN38" i="28"/>
  <c r="FD38" i="28"/>
  <c r="AF38" i="28"/>
  <c r="DJ38" i="28"/>
  <c r="AZ38" i="28"/>
  <c r="EN38" i="28"/>
  <c r="CR38" i="28"/>
  <c r="DH38" i="28"/>
  <c r="DL38" i="28"/>
  <c r="EB38" i="28"/>
  <c r="AJ38" i="28"/>
  <c r="FF38" i="28"/>
  <c r="R39" i="28"/>
  <c r="Z39" i="28"/>
  <c r="AH39" i="28"/>
  <c r="AP39" i="28"/>
  <c r="AX39" i="28"/>
  <c r="BN39" i="28"/>
  <c r="S39" i="28"/>
  <c r="AA39" i="28"/>
  <c r="AI39" i="28"/>
  <c r="AQ39" i="28"/>
  <c r="AY39" i="28"/>
  <c r="BO39" i="28"/>
  <c r="T39" i="28"/>
  <c r="AB39" i="28"/>
  <c r="AJ39" i="28"/>
  <c r="AR39" i="28"/>
  <c r="V39" i="28"/>
  <c r="AD39" i="28"/>
  <c r="AL39" i="28"/>
  <c r="AT39" i="28"/>
  <c r="BB39" i="28"/>
  <c r="BJ39" i="28"/>
  <c r="BR39" i="28"/>
  <c r="X39" i="28"/>
  <c r="AN39" i="28"/>
  <c r="BP39" i="28"/>
  <c r="BY39" i="28"/>
  <c r="CG39" i="28"/>
  <c r="CO39" i="28"/>
  <c r="CW39" i="28"/>
  <c r="DE39" i="28"/>
  <c r="DM39" i="28"/>
  <c r="DU39" i="28"/>
  <c r="EC39" i="28"/>
  <c r="EK39" i="28"/>
  <c r="ES39" i="28"/>
  <c r="FA39" i="28"/>
  <c r="FI39" i="28"/>
  <c r="AC39" i="28"/>
  <c r="AS39" i="28"/>
  <c r="BS39" i="28"/>
  <c r="CA39" i="28"/>
  <c r="CI39" i="28"/>
  <c r="CQ39" i="28"/>
  <c r="CY39" i="28"/>
  <c r="DG39" i="28"/>
  <c r="DO39" i="28"/>
  <c r="DW39" i="28"/>
  <c r="EE39" i="28"/>
  <c r="EM39" i="28"/>
  <c r="EU39" i="28"/>
  <c r="FC39" i="28"/>
  <c r="FK39" i="28"/>
  <c r="O39" i="28"/>
  <c r="AE39" i="28"/>
  <c r="AU39" i="28"/>
  <c r="BT39" i="28"/>
  <c r="CB39" i="28"/>
  <c r="CJ39" i="28"/>
  <c r="CR39" i="28"/>
  <c r="CZ39" i="28"/>
  <c r="DH39" i="28"/>
  <c r="DP39" i="28"/>
  <c r="DX39" i="28"/>
  <c r="EF39" i="28"/>
  <c r="EN39" i="28"/>
  <c r="EV39" i="28"/>
  <c r="FD39" i="28"/>
  <c r="FL39" i="28"/>
  <c r="P39" i="28"/>
  <c r="AF39" i="28"/>
  <c r="AV39" i="28"/>
  <c r="BU39" i="28"/>
  <c r="CC39" i="28"/>
  <c r="CK39" i="28"/>
  <c r="CS39" i="28"/>
  <c r="DA39" i="28"/>
  <c r="DI39" i="28"/>
  <c r="DQ39" i="28"/>
  <c r="DY39" i="28"/>
  <c r="EG39" i="28"/>
  <c r="EO39" i="28"/>
  <c r="EW39" i="28"/>
  <c r="FE39" i="28"/>
  <c r="Q39" i="28"/>
  <c r="AG39" i="28"/>
  <c r="AW39" i="28"/>
  <c r="BK39" i="28"/>
  <c r="BV39" i="28"/>
  <c r="CD39" i="28"/>
  <c r="CL39" i="28"/>
  <c r="CT39" i="28"/>
  <c r="DB39" i="28"/>
  <c r="DJ39" i="28"/>
  <c r="DR39" i="28"/>
  <c r="DZ39" i="28"/>
  <c r="EH39" i="28"/>
  <c r="EP39" i="28"/>
  <c r="EX39" i="28"/>
  <c r="FF39" i="28"/>
  <c r="BA39" i="28"/>
  <c r="CE39" i="28"/>
  <c r="CX39" i="28"/>
  <c r="DT39" i="28"/>
  <c r="EQ39" i="28"/>
  <c r="FJ39" i="28"/>
  <c r="U39" i="28"/>
  <c r="CF39" i="28"/>
  <c r="DC39" i="28"/>
  <c r="DV39" i="28"/>
  <c r="ER39" i="28"/>
  <c r="AK39" i="28"/>
  <c r="BQ39" i="28"/>
  <c r="CN39" i="28"/>
  <c r="DK39" i="28"/>
  <c r="ED39" i="28"/>
  <c r="EZ39" i="28"/>
  <c r="BL39" i="28"/>
  <c r="CU39" i="28"/>
  <c r="EB39" i="28"/>
  <c r="FH39" i="28"/>
  <c r="BM39" i="28"/>
  <c r="CV39" i="28"/>
  <c r="EI39" i="28"/>
  <c r="Y39" i="28"/>
  <c r="BZ39" i="28"/>
  <c r="DL39" i="28"/>
  <c r="ET39" i="28"/>
  <c r="W39" i="28"/>
  <c r="CP39" i="28"/>
  <c r="EY39" i="28"/>
  <c r="EJ39" i="28"/>
  <c r="AM39" i="28"/>
  <c r="DD39" i="28"/>
  <c r="FB39" i="28"/>
  <c r="AO39" i="28"/>
  <c r="DF39" i="28"/>
  <c r="FG39" i="28"/>
  <c r="AZ39" i="28"/>
  <c r="DN39" i="28"/>
  <c r="BW39" i="28"/>
  <c r="DS39" i="28"/>
  <c r="BX39" i="28"/>
  <c r="EA39" i="28"/>
  <c r="CH39" i="28"/>
  <c r="CM39" i="28"/>
  <c r="EL39" i="28"/>
  <c r="S43" i="28"/>
  <c r="AA43" i="28"/>
  <c r="AI43" i="28"/>
  <c r="AQ43" i="28"/>
  <c r="AY43" i="28"/>
  <c r="BO43" i="28"/>
  <c r="BW43" i="28"/>
  <c r="CE43" i="28"/>
  <c r="CM43" i="28"/>
  <c r="CU43" i="28"/>
  <c r="DC43" i="28"/>
  <c r="DK43" i="28"/>
  <c r="DS43" i="28"/>
  <c r="EA43" i="28"/>
  <c r="EI43" i="28"/>
  <c r="EQ43" i="28"/>
  <c r="EY43" i="28"/>
  <c r="FG43" i="28"/>
  <c r="T43" i="28"/>
  <c r="AB43" i="28"/>
  <c r="AJ43" i="28"/>
  <c r="AR43" i="28"/>
  <c r="AZ43" i="28"/>
  <c r="BP43" i="28"/>
  <c r="BX43" i="28"/>
  <c r="CF43" i="28"/>
  <c r="CN43" i="28"/>
  <c r="CV43" i="28"/>
  <c r="DD43" i="28"/>
  <c r="DL43" i="28"/>
  <c r="DT43" i="28"/>
  <c r="EB43" i="28"/>
  <c r="EJ43" i="28"/>
  <c r="ER43" i="28"/>
  <c r="EZ43" i="28"/>
  <c r="O43" i="28"/>
  <c r="W43" i="28"/>
  <c r="AE43" i="28"/>
  <c r="AM43" i="28"/>
  <c r="AU43" i="28"/>
  <c r="BK43" i="28"/>
  <c r="BS43" i="28"/>
  <c r="CA43" i="28"/>
  <c r="CI43" i="28"/>
  <c r="CQ43" i="28"/>
  <c r="CY43" i="28"/>
  <c r="DG43" i="28"/>
  <c r="DO43" i="28"/>
  <c r="DW43" i="28"/>
  <c r="EE43" i="28"/>
  <c r="EM43" i="28"/>
  <c r="EU43" i="28"/>
  <c r="FC43" i="28"/>
  <c r="FK43" i="28"/>
  <c r="Y43" i="28"/>
  <c r="AL43" i="28"/>
  <c r="AX43" i="28"/>
  <c r="BL43" i="28"/>
  <c r="BY43" i="28"/>
  <c r="CK43" i="28"/>
  <c r="CX43" i="28"/>
  <c r="DJ43" i="28"/>
  <c r="DX43" i="28"/>
  <c r="EK43" i="28"/>
  <c r="EW43" i="28"/>
  <c r="FI43" i="28"/>
  <c r="N43" i="28"/>
  <c r="Z43" i="28"/>
  <c r="AN43" i="28"/>
  <c r="BA43" i="28"/>
  <c r="BM43" i="28"/>
  <c r="BZ43" i="28"/>
  <c r="CL43" i="28"/>
  <c r="CZ43" i="28"/>
  <c r="DM43" i="28"/>
  <c r="DY43" i="28"/>
  <c r="EL43" i="28"/>
  <c r="EX43" i="28"/>
  <c r="FJ43" i="28"/>
  <c r="R43" i="28"/>
  <c r="AF43" i="28"/>
  <c r="AS43" i="28"/>
  <c r="BR43" i="28"/>
  <c r="CD43" i="28"/>
  <c r="CR43" i="28"/>
  <c r="DE43" i="28"/>
  <c r="DQ43" i="28"/>
  <c r="ED43" i="28"/>
  <c r="EP43" i="28"/>
  <c r="FD43" i="28"/>
  <c r="P43" i="28"/>
  <c r="AH43" i="28"/>
  <c r="BV43" i="28"/>
  <c r="CS43" i="28"/>
  <c r="DN43" i="28"/>
  <c r="EG43" i="28"/>
  <c r="FB43" i="28"/>
  <c r="CO43" i="28"/>
  <c r="EV43" i="28"/>
  <c r="Q43" i="28"/>
  <c r="AK43" i="28"/>
  <c r="CB43" i="28"/>
  <c r="CT43" i="28"/>
  <c r="DP43" i="28"/>
  <c r="EH43" i="28"/>
  <c r="FE43" i="28"/>
  <c r="BT43" i="28"/>
  <c r="U43" i="28"/>
  <c r="AO43" i="28"/>
  <c r="CC43" i="28"/>
  <c r="CW43" i="28"/>
  <c r="DR43" i="28"/>
  <c r="EN43" i="28"/>
  <c r="FF43" i="28"/>
  <c r="AW43" i="28"/>
  <c r="V43" i="28"/>
  <c r="AP43" i="28"/>
  <c r="BJ43" i="28"/>
  <c r="CG43" i="28"/>
  <c r="DA43" i="28"/>
  <c r="DU43" i="28"/>
  <c r="EO43" i="28"/>
  <c r="FH43" i="28"/>
  <c r="DH43" i="28"/>
  <c r="X43" i="28"/>
  <c r="AT43" i="28"/>
  <c r="BN43" i="28"/>
  <c r="CH43" i="28"/>
  <c r="DB43" i="28"/>
  <c r="DV43" i="28"/>
  <c r="ES43" i="28"/>
  <c r="FL43" i="28"/>
  <c r="AC43" i="28"/>
  <c r="AV43" i="28"/>
  <c r="BQ43" i="28"/>
  <c r="CJ43" i="28"/>
  <c r="DF43" i="28"/>
  <c r="DZ43" i="28"/>
  <c r="ET43" i="28"/>
  <c r="AD43" i="28"/>
  <c r="EC43" i="28"/>
  <c r="AG43" i="28"/>
  <c r="BB43" i="28"/>
  <c r="BU43" i="28"/>
  <c r="CP43" i="28"/>
  <c r="DI43" i="28"/>
  <c r="EF43" i="28"/>
  <c r="FA43" i="28"/>
  <c r="N36" i="28"/>
  <c r="V36" i="28"/>
  <c r="AD36" i="28"/>
  <c r="AL36" i="28"/>
  <c r="AT36" i="28"/>
  <c r="BB36" i="28"/>
  <c r="BJ36" i="28"/>
  <c r="BR36" i="28"/>
  <c r="BZ36" i="28"/>
  <c r="CH36" i="28"/>
  <c r="CP36" i="28"/>
  <c r="CX36" i="28"/>
  <c r="DF36" i="28"/>
  <c r="DN36" i="28"/>
  <c r="DV36" i="28"/>
  <c r="ED36" i="28"/>
  <c r="EL36" i="28"/>
  <c r="ET36" i="28"/>
  <c r="FB36" i="28"/>
  <c r="FJ36" i="28"/>
  <c r="T36" i="28"/>
  <c r="BX36" i="28"/>
  <c r="EJ36" i="28"/>
  <c r="AS36" i="28"/>
  <c r="DU36" i="28"/>
  <c r="O36" i="28"/>
  <c r="W36" i="28"/>
  <c r="AE36" i="28"/>
  <c r="AM36" i="28"/>
  <c r="AU36" i="28"/>
  <c r="BK36" i="28"/>
  <c r="BS36" i="28"/>
  <c r="CA36" i="28"/>
  <c r="CI36" i="28"/>
  <c r="CQ36" i="28"/>
  <c r="CY36" i="28"/>
  <c r="DG36" i="28"/>
  <c r="DO36" i="28"/>
  <c r="DW36" i="28"/>
  <c r="EE36" i="28"/>
  <c r="EM36" i="28"/>
  <c r="EU36" i="28"/>
  <c r="FC36" i="28"/>
  <c r="FK36" i="28"/>
  <c r="AZ36" i="28"/>
  <c r="CV36" i="28"/>
  <c r="DT36" i="28"/>
  <c r="FH36" i="28"/>
  <c r="AK36" i="28"/>
  <c r="BY36" i="28"/>
  <c r="CW36" i="28"/>
  <c r="EK36" i="28"/>
  <c r="P36" i="28"/>
  <c r="X36" i="28"/>
  <c r="AF36" i="28"/>
  <c r="AN36" i="28"/>
  <c r="AV36" i="28"/>
  <c r="BL36" i="28"/>
  <c r="BT36" i="28"/>
  <c r="CB36" i="28"/>
  <c r="CJ36" i="28"/>
  <c r="CR36" i="28"/>
  <c r="CZ36" i="28"/>
  <c r="DH36" i="28"/>
  <c r="DP36" i="28"/>
  <c r="DX36" i="28"/>
  <c r="EF36" i="28"/>
  <c r="EN36" i="28"/>
  <c r="EV36" i="28"/>
  <c r="FD36" i="28"/>
  <c r="FL36" i="28"/>
  <c r="AB36" i="28"/>
  <c r="DD36" i="28"/>
  <c r="ER36" i="28"/>
  <c r="BQ36" i="28"/>
  <c r="DM36" i="28"/>
  <c r="FA36" i="28"/>
  <c r="Q36" i="28"/>
  <c r="Y36" i="28"/>
  <c r="AG36" i="28"/>
  <c r="AO36" i="28"/>
  <c r="AW36" i="28"/>
  <c r="BM36" i="28"/>
  <c r="BU36" i="28"/>
  <c r="CC36" i="28"/>
  <c r="CK36" i="28"/>
  <c r="CS36" i="28"/>
  <c r="DA36" i="28"/>
  <c r="DI36" i="28"/>
  <c r="DQ36" i="28"/>
  <c r="DY36" i="28"/>
  <c r="EG36" i="28"/>
  <c r="EO36" i="28"/>
  <c r="EW36" i="28"/>
  <c r="FE36" i="28"/>
  <c r="AJ36" i="28"/>
  <c r="BP36" i="28"/>
  <c r="DL36" i="28"/>
  <c r="EZ36" i="28"/>
  <c r="U36" i="28"/>
  <c r="BA36" i="28"/>
  <c r="CG36" i="28"/>
  <c r="EC36" i="28"/>
  <c r="FI36" i="28"/>
  <c r="R36" i="28"/>
  <c r="Z36" i="28"/>
  <c r="AH36" i="28"/>
  <c r="AP36" i="28"/>
  <c r="AX36" i="28"/>
  <c r="BN36" i="28"/>
  <c r="BV36" i="28"/>
  <c r="CD36" i="28"/>
  <c r="CL36" i="28"/>
  <c r="CT36" i="28"/>
  <c r="DB36" i="28"/>
  <c r="DJ36" i="28"/>
  <c r="DR36" i="28"/>
  <c r="DZ36" i="28"/>
  <c r="EH36" i="28"/>
  <c r="EP36" i="28"/>
  <c r="EX36" i="28"/>
  <c r="FF36" i="28"/>
  <c r="CF36" i="28"/>
  <c r="DE36" i="28"/>
  <c r="S36" i="28"/>
  <c r="AA36" i="28"/>
  <c r="AI36" i="28"/>
  <c r="AQ36" i="28"/>
  <c r="AY36" i="28"/>
  <c r="BO36" i="28"/>
  <c r="BW36" i="28"/>
  <c r="CE36" i="28"/>
  <c r="CM36" i="28"/>
  <c r="CU36" i="28"/>
  <c r="DC36" i="28"/>
  <c r="DK36" i="28"/>
  <c r="DS36" i="28"/>
  <c r="EA36" i="28"/>
  <c r="EI36" i="28"/>
  <c r="EQ36" i="28"/>
  <c r="EY36" i="28"/>
  <c r="FG36" i="28"/>
  <c r="AR36" i="28"/>
  <c r="CN36" i="28"/>
  <c r="EB36" i="28"/>
  <c r="AC36" i="28"/>
  <c r="CO36" i="28"/>
  <c r="ES36" i="28"/>
  <c r="S53" i="28"/>
  <c r="AA53" i="28"/>
  <c r="AI53" i="28"/>
  <c r="AQ53" i="28"/>
  <c r="AY53" i="28"/>
  <c r="BO53" i="28"/>
  <c r="BW53" i="28"/>
  <c r="CE53" i="28"/>
  <c r="CM53" i="28"/>
  <c r="CU53" i="28"/>
  <c r="DC53" i="28"/>
  <c r="DK53" i="28"/>
  <c r="DS53" i="28"/>
  <c r="EA53" i="28"/>
  <c r="EI53" i="28"/>
  <c r="EQ53" i="28"/>
  <c r="EY53" i="28"/>
  <c r="FG53" i="28"/>
  <c r="X53" i="28"/>
  <c r="BT53" i="28"/>
  <c r="DX53" i="28"/>
  <c r="Y53" i="28"/>
  <c r="BU53" i="28"/>
  <c r="DQ53" i="28"/>
  <c r="AX53" i="28"/>
  <c r="DB53" i="28"/>
  <c r="FF53" i="28"/>
  <c r="T53" i="28"/>
  <c r="AB53" i="28"/>
  <c r="AJ53" i="28"/>
  <c r="AR53" i="28"/>
  <c r="AZ53" i="28"/>
  <c r="BP53" i="28"/>
  <c r="BX53" i="28"/>
  <c r="CF53" i="28"/>
  <c r="CN53" i="28"/>
  <c r="CV53" i="28"/>
  <c r="DD53" i="28"/>
  <c r="DL53" i="28"/>
  <c r="DT53" i="28"/>
  <c r="EB53" i="28"/>
  <c r="EJ53" i="28"/>
  <c r="ER53" i="28"/>
  <c r="EZ53" i="28"/>
  <c r="FH53" i="28"/>
  <c r="AN53" i="28"/>
  <c r="BL53" i="28"/>
  <c r="CZ53" i="28"/>
  <c r="EV53" i="28"/>
  <c r="Q53" i="28"/>
  <c r="BM53" i="28"/>
  <c r="DA53" i="28"/>
  <c r="EW53" i="28"/>
  <c r="R53" i="28"/>
  <c r="CT53" i="28"/>
  <c r="DR53" i="28"/>
  <c r="EX53" i="28"/>
  <c r="U53" i="28"/>
  <c r="AC53" i="28"/>
  <c r="AK53" i="28"/>
  <c r="AS53" i="28"/>
  <c r="BA53" i="28"/>
  <c r="BQ53" i="28"/>
  <c r="BY53" i="28"/>
  <c r="CG53" i="28"/>
  <c r="CO53" i="28"/>
  <c r="CW53" i="28"/>
  <c r="DE53" i="28"/>
  <c r="DM53" i="28"/>
  <c r="DU53" i="28"/>
  <c r="EC53" i="28"/>
  <c r="EK53" i="28"/>
  <c r="ES53" i="28"/>
  <c r="FA53" i="28"/>
  <c r="FI53" i="28"/>
  <c r="AV53" i="28"/>
  <c r="CR53" i="28"/>
  <c r="EF53" i="28"/>
  <c r="FL53" i="28"/>
  <c r="AG53" i="28"/>
  <c r="CK53" i="28"/>
  <c r="EG53" i="28"/>
  <c r="AH53" i="28"/>
  <c r="BN53" i="28"/>
  <c r="DJ53" i="28"/>
  <c r="EP53" i="28"/>
  <c r="N53" i="28"/>
  <c r="V53" i="28"/>
  <c r="AD53" i="28"/>
  <c r="AL53" i="28"/>
  <c r="AT53" i="28"/>
  <c r="BB53" i="28"/>
  <c r="BJ53" i="28"/>
  <c r="BR53" i="28"/>
  <c r="BZ53" i="28"/>
  <c r="CH53" i="28"/>
  <c r="CP53" i="28"/>
  <c r="CX53" i="28"/>
  <c r="DF53" i="28"/>
  <c r="DN53" i="28"/>
  <c r="DV53" i="28"/>
  <c r="ED53" i="28"/>
  <c r="EL53" i="28"/>
  <c r="ET53" i="28"/>
  <c r="FB53" i="28"/>
  <c r="FJ53" i="28"/>
  <c r="AF53" i="28"/>
  <c r="CB53" i="28"/>
  <c r="DP53" i="28"/>
  <c r="FD53" i="28"/>
  <c r="AO53" i="28"/>
  <c r="CS53" i="28"/>
  <c r="FE53" i="28"/>
  <c r="AP53" i="28"/>
  <c r="CL53" i="28"/>
  <c r="EH53" i="28"/>
  <c r="O53" i="28"/>
  <c r="W53" i="28"/>
  <c r="AE53" i="28"/>
  <c r="AM53" i="28"/>
  <c r="AU53" i="28"/>
  <c r="BK53" i="28"/>
  <c r="BS53" i="28"/>
  <c r="CA53" i="28"/>
  <c r="CI53" i="28"/>
  <c r="CQ53" i="28"/>
  <c r="CY53" i="28"/>
  <c r="DG53" i="28"/>
  <c r="DO53" i="28"/>
  <c r="DW53" i="28"/>
  <c r="EE53" i="28"/>
  <c r="EM53" i="28"/>
  <c r="EU53" i="28"/>
  <c r="FC53" i="28"/>
  <c r="FK53" i="28"/>
  <c r="DH53" i="28"/>
  <c r="DY53" i="28"/>
  <c r="CD53" i="28"/>
  <c r="P53" i="28"/>
  <c r="CJ53" i="28"/>
  <c r="EN53" i="28"/>
  <c r="AW53" i="28"/>
  <c r="CC53" i="28"/>
  <c r="DI53" i="28"/>
  <c r="EO53" i="28"/>
  <c r="Z53" i="28"/>
  <c r="BV53" i="28"/>
  <c r="DZ53" i="28"/>
  <c r="W27" i="28"/>
  <c r="AE27" i="28"/>
  <c r="AM27" i="28"/>
  <c r="AU27" i="28"/>
  <c r="BK27" i="28"/>
  <c r="BS27" i="28"/>
  <c r="CA27" i="28"/>
  <c r="CI27" i="28"/>
  <c r="CQ27" i="28"/>
  <c r="CY27" i="28"/>
  <c r="DG27" i="28"/>
  <c r="DO27" i="28"/>
  <c r="DW27" i="28"/>
  <c r="EE27" i="28"/>
  <c r="EM27" i="28"/>
  <c r="EU27" i="28"/>
  <c r="FC27" i="28"/>
  <c r="FK27" i="28"/>
  <c r="X27" i="28"/>
  <c r="AF27" i="28"/>
  <c r="AN27" i="28"/>
  <c r="AV27" i="28"/>
  <c r="BL27" i="28"/>
  <c r="BT27" i="28"/>
  <c r="CB27" i="28"/>
  <c r="CJ27" i="28"/>
  <c r="CR27" i="28"/>
  <c r="CZ27" i="28"/>
  <c r="DH27" i="28"/>
  <c r="DP27" i="28"/>
  <c r="DX27" i="28"/>
  <c r="EF27" i="28"/>
  <c r="EN27" i="28"/>
  <c r="EV27" i="28"/>
  <c r="FD27" i="28"/>
  <c r="FL27" i="28"/>
  <c r="S27" i="28"/>
  <c r="AA27" i="28"/>
  <c r="AI27" i="28"/>
  <c r="AQ27" i="28"/>
  <c r="AY27" i="28"/>
  <c r="BO27" i="28"/>
  <c r="BW27" i="28"/>
  <c r="CE27" i="28"/>
  <c r="CM27" i="28"/>
  <c r="CU27" i="28"/>
  <c r="DC27" i="28"/>
  <c r="DK27" i="28"/>
  <c r="DS27" i="28"/>
  <c r="EA27" i="28"/>
  <c r="EI27" i="28"/>
  <c r="EQ27" i="28"/>
  <c r="EY27" i="28"/>
  <c r="FG27" i="28"/>
  <c r="T27" i="28"/>
  <c r="CF27" i="28"/>
  <c r="DE27" i="28"/>
  <c r="ED27" i="28"/>
  <c r="FE27" i="28"/>
  <c r="AH27" i="28"/>
  <c r="CT27" i="28"/>
  <c r="DT27" i="28"/>
  <c r="ES27" i="28"/>
  <c r="DA27" i="28"/>
  <c r="AT27" i="28"/>
  <c r="CG27" i="28"/>
  <c r="EG27" i="28"/>
  <c r="BZ27" i="28"/>
  <c r="V27" i="28"/>
  <c r="AJ27" i="28"/>
  <c r="AW27" i="28"/>
  <c r="BV27" i="28"/>
  <c r="CH27" i="28"/>
  <c r="CV27" i="28"/>
  <c r="DI27" i="28"/>
  <c r="DU27" i="28"/>
  <c r="EH27" i="28"/>
  <c r="ET27" i="28"/>
  <c r="FH27" i="28"/>
  <c r="Y27" i="28"/>
  <c r="AX27" i="28"/>
  <c r="BJ27" i="28"/>
  <c r="BX27" i="28"/>
  <c r="CK27" i="28"/>
  <c r="DJ27" i="28"/>
  <c r="DV27" i="28"/>
  <c r="EW27" i="28"/>
  <c r="Z27" i="28"/>
  <c r="AZ27" i="28"/>
  <c r="BY27" i="28"/>
  <c r="CX27" i="28"/>
  <c r="DL27" i="28"/>
  <c r="EK27" i="28"/>
  <c r="FJ27" i="28"/>
  <c r="N27" i="28"/>
  <c r="AB27" i="28"/>
  <c r="BA27" i="28"/>
  <c r="CN27" i="28"/>
  <c r="DZ27" i="28"/>
  <c r="EZ27" i="28"/>
  <c r="AK27" i="28"/>
  <c r="CW27" i="28"/>
  <c r="EJ27" i="28"/>
  <c r="FI27" i="28"/>
  <c r="AL27" i="28"/>
  <c r="BM27" i="28"/>
  <c r="CL27" i="28"/>
  <c r="DY27" i="28"/>
  <c r="EX27" i="28"/>
  <c r="AO27" i="28"/>
  <c r="BN27" i="28"/>
  <c r="DM27" i="28"/>
  <c r="EL27" i="28"/>
  <c r="Q27" i="28"/>
  <c r="AC27" i="28"/>
  <c r="AP27" i="28"/>
  <c r="BB27" i="28"/>
  <c r="BP27" i="28"/>
  <c r="CC27" i="28"/>
  <c r="CO27" i="28"/>
  <c r="DB27" i="28"/>
  <c r="DN27" i="28"/>
  <c r="EB27" i="28"/>
  <c r="EO27" i="28"/>
  <c r="FA27" i="28"/>
  <c r="R27" i="28"/>
  <c r="AD27" i="28"/>
  <c r="AR27" i="28"/>
  <c r="BQ27" i="28"/>
  <c r="CD27" i="28"/>
  <c r="CP27" i="28"/>
  <c r="DD27" i="28"/>
  <c r="DQ27" i="28"/>
  <c r="EC27" i="28"/>
  <c r="EP27" i="28"/>
  <c r="FB27" i="28"/>
  <c r="AG27" i="28"/>
  <c r="AS27" i="28"/>
  <c r="BR27" i="28"/>
  <c r="CS27" i="28"/>
  <c r="DR27" i="28"/>
  <c r="ER27" i="28"/>
  <c r="U27" i="28"/>
  <c r="BU27" i="28"/>
  <c r="DF27" i="28"/>
  <c r="FF27" i="28"/>
  <c r="U12" i="28"/>
  <c r="AC12" i="28"/>
  <c r="AK12" i="28"/>
  <c r="AS12" i="28"/>
  <c r="BA12" i="28"/>
  <c r="BQ12" i="28"/>
  <c r="BY12" i="28"/>
  <c r="CG12" i="28"/>
  <c r="CO12" i="28"/>
  <c r="CW12" i="28"/>
  <c r="DE12" i="28"/>
  <c r="DM12" i="28"/>
  <c r="DU12" i="28"/>
  <c r="EC12" i="28"/>
  <c r="EK12" i="28"/>
  <c r="ES12" i="28"/>
  <c r="FA12" i="28"/>
  <c r="FI12" i="28"/>
  <c r="N12" i="28"/>
  <c r="V12" i="28"/>
  <c r="AD12" i="28"/>
  <c r="AL12" i="28"/>
  <c r="AT12" i="28"/>
  <c r="BB12" i="28"/>
  <c r="BJ12" i="28"/>
  <c r="BR12" i="28"/>
  <c r="BZ12" i="28"/>
  <c r="CH12" i="28"/>
  <c r="CP12" i="28"/>
  <c r="CX12" i="28"/>
  <c r="DF12" i="28"/>
  <c r="DN12" i="28"/>
  <c r="DV12" i="28"/>
  <c r="ED12" i="28"/>
  <c r="EL12" i="28"/>
  <c r="ET12" i="28"/>
  <c r="FB12" i="28"/>
  <c r="FJ12" i="28"/>
  <c r="O12" i="28"/>
  <c r="W12" i="28"/>
  <c r="AE12" i="28"/>
  <c r="AM12" i="28"/>
  <c r="AU12" i="28"/>
  <c r="BK12" i="28"/>
  <c r="BS12" i="28"/>
  <c r="CA12" i="28"/>
  <c r="Q12" i="28"/>
  <c r="Y12" i="28"/>
  <c r="AG12" i="28"/>
  <c r="AO12" i="28"/>
  <c r="AW12" i="28"/>
  <c r="BM12" i="28"/>
  <c r="BU12" i="28"/>
  <c r="CC12" i="28"/>
  <c r="CK12" i="28"/>
  <c r="CS12" i="28"/>
  <c r="DA12" i="28"/>
  <c r="DI12" i="28"/>
  <c r="DQ12" i="28"/>
  <c r="DY12" i="28"/>
  <c r="EG12" i="28"/>
  <c r="EO12" i="28"/>
  <c r="EW12" i="28"/>
  <c r="FE12" i="28"/>
  <c r="T12" i="28"/>
  <c r="AJ12" i="28"/>
  <c r="AZ12" i="28"/>
  <c r="BP12" i="28"/>
  <c r="CF12" i="28"/>
  <c r="CT12" i="28"/>
  <c r="DG12" i="28"/>
  <c r="DS12" i="28"/>
  <c r="EF12" i="28"/>
  <c r="ER12" i="28"/>
  <c r="FF12" i="28"/>
  <c r="X12" i="28"/>
  <c r="AN12" i="28"/>
  <c r="BT12" i="28"/>
  <c r="CI12" i="28"/>
  <c r="CU12" i="28"/>
  <c r="DH12" i="28"/>
  <c r="DT12" i="28"/>
  <c r="EH12" i="28"/>
  <c r="EU12" i="28"/>
  <c r="FG12" i="28"/>
  <c r="Z12" i="28"/>
  <c r="AP12" i="28"/>
  <c r="BV12" i="28"/>
  <c r="CJ12" i="28"/>
  <c r="CV12" i="28"/>
  <c r="DJ12" i="28"/>
  <c r="DW12" i="28"/>
  <c r="EI12" i="28"/>
  <c r="EV12" i="28"/>
  <c r="FH12" i="28"/>
  <c r="AA12" i="28"/>
  <c r="AQ12" i="28"/>
  <c r="BW12" i="28"/>
  <c r="CL12" i="28"/>
  <c r="CY12" i="28"/>
  <c r="DK12" i="28"/>
  <c r="DX12" i="28"/>
  <c r="EJ12" i="28"/>
  <c r="EX12" i="28"/>
  <c r="FK12" i="28"/>
  <c r="AB12" i="28"/>
  <c r="AR12" i="28"/>
  <c r="BX12" i="28"/>
  <c r="CM12" i="28"/>
  <c r="CZ12" i="28"/>
  <c r="DL12" i="28"/>
  <c r="DZ12" i="28"/>
  <c r="EM12" i="28"/>
  <c r="EY12" i="28"/>
  <c r="FL12" i="28"/>
  <c r="P12" i="28"/>
  <c r="AF12" i="28"/>
  <c r="AV12" i="28"/>
  <c r="BL12" i="28"/>
  <c r="CB12" i="28"/>
  <c r="CN12" i="28"/>
  <c r="DB12" i="28"/>
  <c r="DO12" i="28"/>
  <c r="EA12" i="28"/>
  <c r="EN12" i="28"/>
  <c r="EZ12" i="28"/>
  <c r="S12" i="28"/>
  <c r="AI12" i="28"/>
  <c r="AY12" i="28"/>
  <c r="BO12" i="28"/>
  <c r="CE12" i="28"/>
  <c r="CR12" i="28"/>
  <c r="DD12" i="28"/>
  <c r="DR12" i="28"/>
  <c r="EE12" i="28"/>
  <c r="EQ12" i="28"/>
  <c r="FD12" i="28"/>
  <c r="AH12" i="28"/>
  <c r="EP12" i="28"/>
  <c r="AX12" i="28"/>
  <c r="FC12" i="28"/>
  <c r="BN12" i="28"/>
  <c r="CQ12" i="28"/>
  <c r="DC12" i="28"/>
  <c r="CD12" i="28"/>
  <c r="DP12" i="28"/>
  <c r="R12" i="28"/>
  <c r="EB12" i="28"/>
  <c r="P10" i="28"/>
  <c r="X10" i="28"/>
  <c r="AF10" i="28"/>
  <c r="AN10" i="28"/>
  <c r="AV10" i="28"/>
  <c r="BL10" i="28"/>
  <c r="BT10" i="28"/>
  <c r="CB10" i="28"/>
  <c r="CJ10" i="28"/>
  <c r="CR10" i="28"/>
  <c r="CZ10" i="28"/>
  <c r="DH10" i="28"/>
  <c r="DP10" i="28"/>
  <c r="DX10" i="28"/>
  <c r="EF10" i="28"/>
  <c r="EN10" i="28"/>
  <c r="EV10" i="28"/>
  <c r="FD10" i="28"/>
  <c r="FL10" i="28"/>
  <c r="S10" i="28"/>
  <c r="AA10" i="28"/>
  <c r="AI10" i="28"/>
  <c r="AQ10" i="28"/>
  <c r="AY10" i="28"/>
  <c r="BO10" i="28"/>
  <c r="BW10" i="28"/>
  <c r="CE10" i="28"/>
  <c r="CM10" i="28"/>
  <c r="CU10" i="28"/>
  <c r="DC10" i="28"/>
  <c r="DK10" i="28"/>
  <c r="DS10" i="28"/>
  <c r="EA10" i="28"/>
  <c r="EI10" i="28"/>
  <c r="EQ10" i="28"/>
  <c r="EY10" i="28"/>
  <c r="FG10" i="28"/>
  <c r="T10" i="28"/>
  <c r="AB10" i="28"/>
  <c r="AJ10" i="28"/>
  <c r="AR10" i="28"/>
  <c r="AZ10" i="28"/>
  <c r="BP10" i="28"/>
  <c r="BX10" i="28"/>
  <c r="CF10" i="28"/>
  <c r="CN10" i="28"/>
  <c r="CV10" i="28"/>
  <c r="DD10" i="28"/>
  <c r="DL10" i="28"/>
  <c r="DT10" i="28"/>
  <c r="EB10" i="28"/>
  <c r="EJ10" i="28"/>
  <c r="ER10" i="28"/>
  <c r="EZ10" i="28"/>
  <c r="FH10" i="28"/>
  <c r="U10" i="28"/>
  <c r="AC10" i="28"/>
  <c r="AK10" i="28"/>
  <c r="AS10" i="28"/>
  <c r="BA10" i="28"/>
  <c r="BQ10" i="28"/>
  <c r="BY10" i="28"/>
  <c r="CG10" i="28"/>
  <c r="CO10" i="28"/>
  <c r="CW10" i="28"/>
  <c r="DE10" i="28"/>
  <c r="DM10" i="28"/>
  <c r="DU10" i="28"/>
  <c r="EC10" i="28"/>
  <c r="EK10" i="28"/>
  <c r="ES10" i="28"/>
  <c r="FA10" i="28"/>
  <c r="FI10" i="28"/>
  <c r="O10" i="28"/>
  <c r="W10" i="28"/>
  <c r="AE10" i="28"/>
  <c r="AM10" i="28"/>
  <c r="AU10" i="28"/>
  <c r="BK10" i="28"/>
  <c r="BS10" i="28"/>
  <c r="CA10" i="28"/>
  <c r="CI10" i="28"/>
  <c r="CQ10" i="28"/>
  <c r="CY10" i="28"/>
  <c r="DG10" i="28"/>
  <c r="DO10" i="28"/>
  <c r="DW10" i="28"/>
  <c r="EE10" i="28"/>
  <c r="EM10" i="28"/>
  <c r="EU10" i="28"/>
  <c r="FC10" i="28"/>
  <c r="FK10" i="28"/>
  <c r="AD10" i="28"/>
  <c r="AX10" i="28"/>
  <c r="BU10" i="28"/>
  <c r="CP10" i="28"/>
  <c r="DJ10" i="28"/>
  <c r="EG10" i="28"/>
  <c r="FB10" i="28"/>
  <c r="AG10" i="28"/>
  <c r="BB10" i="28"/>
  <c r="BV10" i="28"/>
  <c r="CS10" i="28"/>
  <c r="DN10" i="28"/>
  <c r="EH10" i="28"/>
  <c r="FE10" i="28"/>
  <c r="N10" i="28"/>
  <c r="AH10" i="28"/>
  <c r="BZ10" i="28"/>
  <c r="CT10" i="28"/>
  <c r="DQ10" i="28"/>
  <c r="EL10" i="28"/>
  <c r="FF10" i="28"/>
  <c r="Q10" i="28"/>
  <c r="AL10" i="28"/>
  <c r="CC10" i="28"/>
  <c r="CX10" i="28"/>
  <c r="DR10" i="28"/>
  <c r="EO10" i="28"/>
  <c r="FJ10" i="28"/>
  <c r="R10" i="28"/>
  <c r="AO10" i="28"/>
  <c r="BJ10" i="28"/>
  <c r="CD10" i="28"/>
  <c r="DA10" i="28"/>
  <c r="DV10" i="28"/>
  <c r="EP10" i="28"/>
  <c r="V10" i="28"/>
  <c r="AP10" i="28"/>
  <c r="BM10" i="28"/>
  <c r="CH10" i="28"/>
  <c r="DB10" i="28"/>
  <c r="DY10" i="28"/>
  <c r="ET10" i="28"/>
  <c r="Z10" i="28"/>
  <c r="AW10" i="28"/>
  <c r="BR10" i="28"/>
  <c r="CL10" i="28"/>
  <c r="DI10" i="28"/>
  <c r="ED10" i="28"/>
  <c r="EX10" i="28"/>
  <c r="AT10" i="28"/>
  <c r="BN10" i="28"/>
  <c r="CK10" i="28"/>
  <c r="EW10" i="28"/>
  <c r="DF10" i="28"/>
  <c r="DZ10" i="28"/>
  <c r="Y10" i="28"/>
  <c r="U25" i="28"/>
  <c r="AC25" i="28"/>
  <c r="AK25" i="28"/>
  <c r="AS25" i="28"/>
  <c r="BA25" i="28"/>
  <c r="BQ25" i="28"/>
  <c r="BY25" i="28"/>
  <c r="CG25" i="28"/>
  <c r="CO25" i="28"/>
  <c r="CW25" i="28"/>
  <c r="DE25" i="28"/>
  <c r="DM25" i="28"/>
  <c r="DU25" i="28"/>
  <c r="EC25" i="28"/>
  <c r="EK25" i="28"/>
  <c r="ES25" i="28"/>
  <c r="FA25" i="28"/>
  <c r="FI25" i="28"/>
  <c r="W25" i="28"/>
  <c r="CI25" i="28"/>
  <c r="CY25" i="28"/>
  <c r="DW25" i="28"/>
  <c r="EU25" i="28"/>
  <c r="N25" i="28"/>
  <c r="V25" i="28"/>
  <c r="AD25" i="28"/>
  <c r="AL25" i="28"/>
  <c r="AT25" i="28"/>
  <c r="BB25" i="28"/>
  <c r="BJ25" i="28"/>
  <c r="BR25" i="28"/>
  <c r="BZ25" i="28"/>
  <c r="CH25" i="28"/>
  <c r="CP25" i="28"/>
  <c r="CX25" i="28"/>
  <c r="DF25" i="28"/>
  <c r="DN25" i="28"/>
  <c r="DV25" i="28"/>
  <c r="ED25" i="28"/>
  <c r="EL25" i="28"/>
  <c r="ET25" i="28"/>
  <c r="FB25" i="28"/>
  <c r="FJ25" i="28"/>
  <c r="DG25" i="28"/>
  <c r="EM25" i="28"/>
  <c r="FK25" i="28"/>
  <c r="O25" i="28"/>
  <c r="AE25" i="28"/>
  <c r="AM25" i="28"/>
  <c r="AU25" i="28"/>
  <c r="BK25" i="28"/>
  <c r="BS25" i="28"/>
  <c r="CA25" i="28"/>
  <c r="CQ25" i="28"/>
  <c r="DO25" i="28"/>
  <c r="EE25" i="28"/>
  <c r="FC25" i="28"/>
  <c r="Q25" i="28"/>
  <c r="Y25" i="28"/>
  <c r="AG25" i="28"/>
  <c r="AO25" i="28"/>
  <c r="AW25" i="28"/>
  <c r="BM25" i="28"/>
  <c r="BU25" i="28"/>
  <c r="CC25" i="28"/>
  <c r="CK25" i="28"/>
  <c r="CS25" i="28"/>
  <c r="DA25" i="28"/>
  <c r="DI25" i="28"/>
  <c r="DQ25" i="28"/>
  <c r="DY25" i="28"/>
  <c r="EG25" i="28"/>
  <c r="EO25" i="28"/>
  <c r="EW25" i="28"/>
  <c r="FE25" i="28"/>
  <c r="T25" i="28"/>
  <c r="AJ25" i="28"/>
  <c r="AZ25" i="28"/>
  <c r="BP25" i="28"/>
  <c r="CF25" i="28"/>
  <c r="CV25" i="28"/>
  <c r="DL25" i="28"/>
  <c r="ER25" i="28"/>
  <c r="FH25" i="28"/>
  <c r="X25" i="28"/>
  <c r="BT25" i="28"/>
  <c r="DP25" i="28"/>
  <c r="EF25" i="28"/>
  <c r="FL25" i="28"/>
  <c r="AN25" i="28"/>
  <c r="CZ25" i="28"/>
  <c r="EV25" i="28"/>
  <c r="Z25" i="28"/>
  <c r="AP25" i="28"/>
  <c r="BV25" i="28"/>
  <c r="CL25" i="28"/>
  <c r="DB25" i="28"/>
  <c r="DR25" i="28"/>
  <c r="EH25" i="28"/>
  <c r="EX25" i="28"/>
  <c r="AA25" i="28"/>
  <c r="BW25" i="28"/>
  <c r="CM25" i="28"/>
  <c r="DS25" i="28"/>
  <c r="EI25" i="28"/>
  <c r="EY25" i="28"/>
  <c r="AB25" i="28"/>
  <c r="AR25" i="28"/>
  <c r="CN25" i="28"/>
  <c r="DD25" i="28"/>
  <c r="DT25" i="28"/>
  <c r="EJ25" i="28"/>
  <c r="EZ25" i="28"/>
  <c r="AF25" i="28"/>
  <c r="AV25" i="28"/>
  <c r="CB25" i="28"/>
  <c r="DH25" i="28"/>
  <c r="EN25" i="28"/>
  <c r="FD25" i="28"/>
  <c r="AQ25" i="28"/>
  <c r="DC25" i="28"/>
  <c r="BX25" i="28"/>
  <c r="P25" i="28"/>
  <c r="BL25" i="28"/>
  <c r="CR25" i="28"/>
  <c r="DX25" i="28"/>
  <c r="R25" i="28"/>
  <c r="AH25" i="28"/>
  <c r="AX25" i="28"/>
  <c r="BN25" i="28"/>
  <c r="CD25" i="28"/>
  <c r="CT25" i="28"/>
  <c r="DJ25" i="28"/>
  <c r="DZ25" i="28"/>
  <c r="EP25" i="28"/>
  <c r="FF25" i="28"/>
  <c r="S25" i="28"/>
  <c r="AI25" i="28"/>
  <c r="AY25" i="28"/>
  <c r="BO25" i="28"/>
  <c r="CE25" i="28"/>
  <c r="CU25" i="28"/>
  <c r="DK25" i="28"/>
  <c r="EA25" i="28"/>
  <c r="EQ25" i="28"/>
  <c r="FG25" i="28"/>
  <c r="EB25" i="28"/>
  <c r="CJ25" i="28"/>
  <c r="U11" i="28"/>
  <c r="AC11" i="28"/>
  <c r="AK11" i="28"/>
  <c r="AS11" i="28"/>
  <c r="BA11" i="28"/>
  <c r="P11" i="28"/>
  <c r="X11" i="28"/>
  <c r="AF11" i="28"/>
  <c r="AN11" i="28"/>
  <c r="AV11" i="28"/>
  <c r="BL11" i="28"/>
  <c r="BT11" i="28"/>
  <c r="CB11" i="28"/>
  <c r="CJ11" i="28"/>
  <c r="CR11" i="28"/>
  <c r="CZ11" i="28"/>
  <c r="DH11" i="28"/>
  <c r="DP11" i="28"/>
  <c r="DX11" i="28"/>
  <c r="EF11" i="28"/>
  <c r="EN11" i="28"/>
  <c r="EV11" i="28"/>
  <c r="FD11" i="28"/>
  <c r="FL11" i="28"/>
  <c r="Q11" i="28"/>
  <c r="Y11" i="28"/>
  <c r="AG11" i="28"/>
  <c r="AO11" i="28"/>
  <c r="AW11" i="28"/>
  <c r="BM11" i="28"/>
  <c r="BU11" i="28"/>
  <c r="CC11" i="28"/>
  <c r="CK11" i="28"/>
  <c r="CS11" i="28"/>
  <c r="DA11" i="28"/>
  <c r="DI11" i="28"/>
  <c r="DQ11" i="28"/>
  <c r="DY11" i="28"/>
  <c r="EG11" i="28"/>
  <c r="EO11" i="28"/>
  <c r="EW11" i="28"/>
  <c r="FE11" i="28"/>
  <c r="R11" i="28"/>
  <c r="Z11" i="28"/>
  <c r="AH11" i="28"/>
  <c r="AP11" i="28"/>
  <c r="AX11" i="28"/>
  <c r="BN11" i="28"/>
  <c r="BV11" i="28"/>
  <c r="CD11" i="28"/>
  <c r="CL11" i="28"/>
  <c r="CT11" i="28"/>
  <c r="DB11" i="28"/>
  <c r="DJ11" i="28"/>
  <c r="DR11" i="28"/>
  <c r="DZ11" i="28"/>
  <c r="EH11" i="28"/>
  <c r="EP11" i="28"/>
  <c r="EX11" i="28"/>
  <c r="FF11" i="28"/>
  <c r="T11" i="28"/>
  <c r="AB11" i="28"/>
  <c r="AJ11" i="28"/>
  <c r="AR11" i="28"/>
  <c r="AZ11" i="28"/>
  <c r="BP11" i="28"/>
  <c r="BX11" i="28"/>
  <c r="CF11" i="28"/>
  <c r="CN11" i="28"/>
  <c r="CV11" i="28"/>
  <c r="DD11" i="28"/>
  <c r="DL11" i="28"/>
  <c r="DT11" i="28"/>
  <c r="EB11" i="28"/>
  <c r="EJ11" i="28"/>
  <c r="ER11" i="28"/>
  <c r="EZ11" i="28"/>
  <c r="FH11" i="28"/>
  <c r="W11" i="28"/>
  <c r="AT11" i="28"/>
  <c r="BK11" i="28"/>
  <c r="CA11" i="28"/>
  <c r="CQ11" i="28"/>
  <c r="DG11" i="28"/>
  <c r="DW11" i="28"/>
  <c r="EM11" i="28"/>
  <c r="FC11" i="28"/>
  <c r="AA11" i="28"/>
  <c r="AU11" i="28"/>
  <c r="BO11" i="28"/>
  <c r="CE11" i="28"/>
  <c r="CU11" i="28"/>
  <c r="DK11" i="28"/>
  <c r="EA11" i="28"/>
  <c r="EQ11" i="28"/>
  <c r="FG11" i="28"/>
  <c r="AD11" i="28"/>
  <c r="AY11" i="28"/>
  <c r="BQ11" i="28"/>
  <c r="CG11" i="28"/>
  <c r="CW11" i="28"/>
  <c r="DM11" i="28"/>
  <c r="EC11" i="28"/>
  <c r="ES11" i="28"/>
  <c r="FI11" i="28"/>
  <c r="AE11" i="28"/>
  <c r="BB11" i="28"/>
  <c r="BR11" i="28"/>
  <c r="CH11" i="28"/>
  <c r="CX11" i="28"/>
  <c r="DN11" i="28"/>
  <c r="ED11" i="28"/>
  <c r="ET11" i="28"/>
  <c r="FJ11" i="28"/>
  <c r="N11" i="28"/>
  <c r="AI11" i="28"/>
  <c r="BS11" i="28"/>
  <c r="CI11" i="28"/>
  <c r="CY11" i="28"/>
  <c r="DO11" i="28"/>
  <c r="EE11" i="28"/>
  <c r="EU11" i="28"/>
  <c r="FK11" i="28"/>
  <c r="O11" i="28"/>
  <c r="AL11" i="28"/>
  <c r="BW11" i="28"/>
  <c r="CM11" i="28"/>
  <c r="DC11" i="28"/>
  <c r="DS11" i="28"/>
  <c r="EI11" i="28"/>
  <c r="EY11" i="28"/>
  <c r="V11" i="28"/>
  <c r="AQ11" i="28"/>
  <c r="BJ11" i="28"/>
  <c r="BZ11" i="28"/>
  <c r="CP11" i="28"/>
  <c r="DF11" i="28"/>
  <c r="DV11" i="28"/>
  <c r="EL11" i="28"/>
  <c r="FB11" i="28"/>
  <c r="BY11" i="28"/>
  <c r="CO11" i="28"/>
  <c r="DU11" i="28"/>
  <c r="EK11" i="28"/>
  <c r="DE11" i="28"/>
  <c r="S11" i="28"/>
  <c r="FA11" i="28"/>
  <c r="AM11" i="28"/>
  <c r="S9" i="28"/>
  <c r="AA9" i="28"/>
  <c r="AI9" i="28"/>
  <c r="AQ9" i="28"/>
  <c r="AY9" i="28"/>
  <c r="BO9" i="28"/>
  <c r="BW9" i="28"/>
  <c r="CE9" i="28"/>
  <c r="CM9" i="28"/>
  <c r="CU9" i="28"/>
  <c r="DC9" i="28"/>
  <c r="DK9" i="28"/>
  <c r="DS9" i="28"/>
  <c r="EA9" i="28"/>
  <c r="EI9" i="28"/>
  <c r="EQ9" i="28"/>
  <c r="EY9" i="28"/>
  <c r="FG9" i="28"/>
  <c r="AD9" i="28"/>
  <c r="AL9" i="28"/>
  <c r="AT9" i="28"/>
  <c r="BB9" i="28"/>
  <c r="BJ9" i="28"/>
  <c r="BR9" i="28"/>
  <c r="BZ9" i="28"/>
  <c r="CH9" i="28"/>
  <c r="CP9" i="28"/>
  <c r="CX9" i="28"/>
  <c r="DF9" i="28"/>
  <c r="DN9" i="28"/>
  <c r="DV9" i="28"/>
  <c r="ED9" i="28"/>
  <c r="EL9" i="28"/>
  <c r="ET9" i="28"/>
  <c r="FB9" i="28"/>
  <c r="FJ9" i="28"/>
  <c r="O9" i="28"/>
  <c r="W9" i="28"/>
  <c r="AE9" i="28"/>
  <c r="AM9" i="28"/>
  <c r="AU9" i="28"/>
  <c r="BK9" i="28"/>
  <c r="BS9" i="28"/>
  <c r="CA9" i="28"/>
  <c r="CI9" i="28"/>
  <c r="CQ9" i="28"/>
  <c r="CY9" i="28"/>
  <c r="DG9" i="28"/>
  <c r="DO9" i="28"/>
  <c r="DW9" i="28"/>
  <c r="EE9" i="28"/>
  <c r="EM9" i="28"/>
  <c r="EU9" i="28"/>
  <c r="FC9" i="28"/>
  <c r="FK9" i="28"/>
  <c r="P9" i="28"/>
  <c r="X9" i="28"/>
  <c r="AF9" i="28"/>
  <c r="AN9" i="28"/>
  <c r="AV9" i="28"/>
  <c r="BL9" i="28"/>
  <c r="BT9" i="28"/>
  <c r="CB9" i="28"/>
  <c r="CJ9" i="28"/>
  <c r="CR9" i="28"/>
  <c r="CZ9" i="28"/>
  <c r="DH9" i="28"/>
  <c r="DP9" i="28"/>
  <c r="DX9" i="28"/>
  <c r="EF9" i="28"/>
  <c r="EN9" i="28"/>
  <c r="EV9" i="28"/>
  <c r="FD9" i="28"/>
  <c r="FL9" i="28"/>
  <c r="R9" i="28"/>
  <c r="Z9" i="28"/>
  <c r="AH9" i="28"/>
  <c r="AP9" i="28"/>
  <c r="AX9" i="28"/>
  <c r="BN9" i="28"/>
  <c r="BV9" i="28"/>
  <c r="CD9" i="28"/>
  <c r="CL9" i="28"/>
  <c r="CT9" i="28"/>
  <c r="DB9" i="28"/>
  <c r="DJ9" i="28"/>
  <c r="DR9" i="28"/>
  <c r="DZ9" i="28"/>
  <c r="EH9" i="28"/>
  <c r="EP9" i="28"/>
  <c r="EX9" i="28"/>
  <c r="FF9" i="28"/>
  <c r="AJ9" i="28"/>
  <c r="BY9" i="28"/>
  <c r="CV9" i="28"/>
  <c r="DQ9" i="28"/>
  <c r="EK9" i="28"/>
  <c r="FH9" i="28"/>
  <c r="Q9" i="28"/>
  <c r="AK9" i="28"/>
  <c r="CC9" i="28"/>
  <c r="CW9" i="28"/>
  <c r="DT9" i="28"/>
  <c r="EO9" i="28"/>
  <c r="FI9" i="28"/>
  <c r="T9" i="28"/>
  <c r="AO9" i="28"/>
  <c r="CF9" i="28"/>
  <c r="DA9" i="28"/>
  <c r="DU9" i="28"/>
  <c r="ER9" i="28"/>
  <c r="U9" i="28"/>
  <c r="AR9" i="28"/>
  <c r="BM9" i="28"/>
  <c r="CG9" i="28"/>
  <c r="DD9" i="28"/>
  <c r="DY9" i="28"/>
  <c r="ES9" i="28"/>
  <c r="Y9" i="28"/>
  <c r="AS9" i="28"/>
  <c r="BP9" i="28"/>
  <c r="CK9" i="28"/>
  <c r="DE9" i="28"/>
  <c r="EB9" i="28"/>
  <c r="EW9" i="28"/>
  <c r="AB9" i="28"/>
  <c r="AW9" i="28"/>
  <c r="BQ9" i="28"/>
  <c r="CN9" i="28"/>
  <c r="DI9" i="28"/>
  <c r="EC9" i="28"/>
  <c r="EZ9" i="28"/>
  <c r="AG9" i="28"/>
  <c r="BA9" i="28"/>
  <c r="BX9" i="28"/>
  <c r="CS9" i="28"/>
  <c r="DM9" i="28"/>
  <c r="EJ9" i="28"/>
  <c r="FE9" i="28"/>
  <c r="AC9" i="28"/>
  <c r="AZ9" i="28"/>
  <c r="BU9" i="28"/>
  <c r="DL9" i="28"/>
  <c r="CO9" i="28"/>
  <c r="EG9" i="28"/>
  <c r="FA9" i="28"/>
  <c r="R26" i="28"/>
  <c r="Z26" i="28"/>
  <c r="AH26" i="28"/>
  <c r="AP26" i="28"/>
  <c r="AX26" i="28"/>
  <c r="BN26" i="28"/>
  <c r="BV26" i="28"/>
  <c r="CD26" i="28"/>
  <c r="CL26" i="28"/>
  <c r="CT26" i="28"/>
  <c r="DB26" i="28"/>
  <c r="DJ26" i="28"/>
  <c r="DR26" i="28"/>
  <c r="DZ26" i="28"/>
  <c r="EH26" i="28"/>
  <c r="EP26" i="28"/>
  <c r="EX26" i="28"/>
  <c r="FF26" i="28"/>
  <c r="T26" i="28"/>
  <c r="AR26" i="28"/>
  <c r="BX26" i="28"/>
  <c r="CV26" i="28"/>
  <c r="EB26" i="28"/>
  <c r="S26" i="28"/>
  <c r="AA26" i="28"/>
  <c r="AI26" i="28"/>
  <c r="AQ26" i="28"/>
  <c r="AY26" i="28"/>
  <c r="BO26" i="28"/>
  <c r="BW26" i="28"/>
  <c r="CE26" i="28"/>
  <c r="CM26" i="28"/>
  <c r="CU26" i="28"/>
  <c r="DC26" i="28"/>
  <c r="DK26" i="28"/>
  <c r="DS26" i="28"/>
  <c r="EA26" i="28"/>
  <c r="EI26" i="28"/>
  <c r="EQ26" i="28"/>
  <c r="EY26" i="28"/>
  <c r="FG26" i="28"/>
  <c r="AB26" i="28"/>
  <c r="AZ26" i="28"/>
  <c r="BP26" i="28"/>
  <c r="CF26" i="28"/>
  <c r="DD26" i="28"/>
  <c r="DT26" i="28"/>
  <c r="AJ26" i="28"/>
  <c r="CN26" i="28"/>
  <c r="N26" i="28"/>
  <c r="V26" i="28"/>
  <c r="AD26" i="28"/>
  <c r="AL26" i="28"/>
  <c r="AT26" i="28"/>
  <c r="BB26" i="28"/>
  <c r="BJ26" i="28"/>
  <c r="BR26" i="28"/>
  <c r="BZ26" i="28"/>
  <c r="CH26" i="28"/>
  <c r="CP26" i="28"/>
  <c r="CX26" i="28"/>
  <c r="DF26" i="28"/>
  <c r="DN26" i="28"/>
  <c r="DV26" i="28"/>
  <c r="ED26" i="28"/>
  <c r="EL26" i="28"/>
  <c r="ET26" i="28"/>
  <c r="FB26" i="28"/>
  <c r="FJ26" i="28"/>
  <c r="Y26" i="28"/>
  <c r="BU26" i="28"/>
  <c r="DP26" i="28"/>
  <c r="CO26" i="28"/>
  <c r="DQ26" i="28"/>
  <c r="EU26" i="28"/>
  <c r="CG26" i="28"/>
  <c r="AS26" i="28"/>
  <c r="BY26" i="28"/>
  <c r="EG26" i="28"/>
  <c r="FH26" i="28"/>
  <c r="BA26" i="28"/>
  <c r="O26" i="28"/>
  <c r="AE26" i="28"/>
  <c r="AU26" i="28"/>
  <c r="BK26" i="28"/>
  <c r="CA26" i="28"/>
  <c r="CQ26" i="28"/>
  <c r="DG26" i="28"/>
  <c r="DU26" i="28"/>
  <c r="EJ26" i="28"/>
  <c r="EV26" i="28"/>
  <c r="FI26" i="28"/>
  <c r="AF26" i="28"/>
  <c r="AV26" i="28"/>
  <c r="BL26" i="28"/>
  <c r="CR26" i="28"/>
  <c r="DH26" i="28"/>
  <c r="EK26" i="28"/>
  <c r="EW26" i="28"/>
  <c r="FK26" i="28"/>
  <c r="Q26" i="28"/>
  <c r="AG26" i="28"/>
  <c r="BM26" i="28"/>
  <c r="CC26" i="28"/>
  <c r="CS26" i="28"/>
  <c r="DX26" i="28"/>
  <c r="EM26" i="28"/>
  <c r="FL26" i="28"/>
  <c r="AK26" i="28"/>
  <c r="DL26" i="28"/>
  <c r="EN26" i="28"/>
  <c r="P26" i="28"/>
  <c r="CB26" i="28"/>
  <c r="DW26" i="28"/>
  <c r="AW26" i="28"/>
  <c r="DI26" i="28"/>
  <c r="EZ26" i="28"/>
  <c r="U26" i="28"/>
  <c r="BQ26" i="28"/>
  <c r="DY26" i="28"/>
  <c r="FA26" i="28"/>
  <c r="W26" i="28"/>
  <c r="AM26" i="28"/>
  <c r="BS26" i="28"/>
  <c r="CI26" i="28"/>
  <c r="CY26" i="28"/>
  <c r="DM26" i="28"/>
  <c r="EC26" i="28"/>
  <c r="EO26" i="28"/>
  <c r="FC26" i="28"/>
  <c r="X26" i="28"/>
  <c r="AN26" i="28"/>
  <c r="BT26" i="28"/>
  <c r="CJ26" i="28"/>
  <c r="CZ26" i="28"/>
  <c r="DO26" i="28"/>
  <c r="EE26" i="28"/>
  <c r="ER26" i="28"/>
  <c r="FD26" i="28"/>
  <c r="AO26" i="28"/>
  <c r="CK26" i="28"/>
  <c r="DA26" i="28"/>
  <c r="EF26" i="28"/>
  <c r="ES26" i="28"/>
  <c r="FE26" i="28"/>
  <c r="AC26" i="28"/>
  <c r="DE26" i="28"/>
  <c r="CW26" i="28"/>
  <c r="AC28" i="28"/>
  <c r="BA28" i="28"/>
  <c r="BQ28" i="28"/>
  <c r="CG28" i="28"/>
  <c r="CW28" i="28"/>
  <c r="DU28" i="28"/>
  <c r="EK28" i="28"/>
  <c r="FA28" i="28"/>
  <c r="V28" i="28"/>
  <c r="AT28" i="28"/>
  <c r="BR28" i="28"/>
  <c r="CP28" i="28"/>
  <c r="DN28" i="28"/>
  <c r="EL28" i="28"/>
  <c r="FJ28" i="28"/>
  <c r="AE28" i="28"/>
  <c r="CY28" i="28"/>
  <c r="EE28" i="28"/>
  <c r="AQ28" i="28"/>
  <c r="CE28" i="28"/>
  <c r="DS28" i="28"/>
  <c r="N28" i="28"/>
  <c r="AL28" i="28"/>
  <c r="BB28" i="28"/>
  <c r="BZ28" i="28"/>
  <c r="CX28" i="28"/>
  <c r="DV28" i="28"/>
  <c r="ET28" i="28"/>
  <c r="AM28" i="28"/>
  <c r="BS28" i="28"/>
  <c r="CQ28" i="28"/>
  <c r="DO28" i="28"/>
  <c r="EM28" i="28"/>
  <c r="FK28" i="28"/>
  <c r="DK28" i="28"/>
  <c r="O28" i="28"/>
  <c r="AU28" i="28"/>
  <c r="CA28" i="28"/>
  <c r="CI28" i="28"/>
  <c r="DW28" i="28"/>
  <c r="FC28" i="28"/>
  <c r="AA28" i="28"/>
  <c r="BO28" i="28"/>
  <c r="EA28" i="28"/>
  <c r="P28" i="28"/>
  <c r="X28" i="28"/>
  <c r="AF28" i="28"/>
  <c r="AN28" i="28"/>
  <c r="AV28" i="28"/>
  <c r="BL28" i="28"/>
  <c r="BT28" i="28"/>
  <c r="CB28" i="28"/>
  <c r="CJ28" i="28"/>
  <c r="CR28" i="28"/>
  <c r="CZ28" i="28"/>
  <c r="DH28" i="28"/>
  <c r="DP28" i="28"/>
  <c r="DX28" i="28"/>
  <c r="EF28" i="28"/>
  <c r="EN28" i="28"/>
  <c r="EV28" i="28"/>
  <c r="FD28" i="28"/>
  <c r="FL28" i="28"/>
  <c r="Z28" i="28"/>
  <c r="AH28" i="28"/>
  <c r="BN28" i="28"/>
  <c r="CL28" i="28"/>
  <c r="DJ28" i="28"/>
  <c r="DZ28" i="28"/>
  <c r="EX28" i="28"/>
  <c r="BW28" i="28"/>
  <c r="EQ28" i="28"/>
  <c r="Q28" i="28"/>
  <c r="Y28" i="28"/>
  <c r="AG28" i="28"/>
  <c r="AO28" i="28"/>
  <c r="AW28" i="28"/>
  <c r="BM28" i="28"/>
  <c r="BU28" i="28"/>
  <c r="CC28" i="28"/>
  <c r="CK28" i="28"/>
  <c r="CS28" i="28"/>
  <c r="DA28" i="28"/>
  <c r="DI28" i="28"/>
  <c r="DQ28" i="28"/>
  <c r="DY28" i="28"/>
  <c r="EG28" i="28"/>
  <c r="EO28" i="28"/>
  <c r="EW28" i="28"/>
  <c r="FE28" i="28"/>
  <c r="R28" i="28"/>
  <c r="AP28" i="28"/>
  <c r="BV28" i="28"/>
  <c r="CT28" i="28"/>
  <c r="DR28" i="28"/>
  <c r="EH28" i="28"/>
  <c r="FF28" i="28"/>
  <c r="S28" i="28"/>
  <c r="CM28" i="28"/>
  <c r="EY28" i="28"/>
  <c r="AX28" i="28"/>
  <c r="CD28" i="28"/>
  <c r="DB28" i="28"/>
  <c r="EP28" i="28"/>
  <c r="AY28" i="28"/>
  <c r="CU28" i="28"/>
  <c r="EI28" i="28"/>
  <c r="T28" i="28"/>
  <c r="AB28" i="28"/>
  <c r="AJ28" i="28"/>
  <c r="AR28" i="28"/>
  <c r="AZ28" i="28"/>
  <c r="BP28" i="28"/>
  <c r="BX28" i="28"/>
  <c r="CF28" i="28"/>
  <c r="CN28" i="28"/>
  <c r="CV28" i="28"/>
  <c r="DD28" i="28"/>
  <c r="DL28" i="28"/>
  <c r="DT28" i="28"/>
  <c r="EB28" i="28"/>
  <c r="EJ28" i="28"/>
  <c r="ER28" i="28"/>
  <c r="EZ28" i="28"/>
  <c r="FH28" i="28"/>
  <c r="U28" i="28"/>
  <c r="AK28" i="28"/>
  <c r="AS28" i="28"/>
  <c r="BY28" i="28"/>
  <c r="CO28" i="28"/>
  <c r="DE28" i="28"/>
  <c r="DM28" i="28"/>
  <c r="EC28" i="28"/>
  <c r="ES28" i="28"/>
  <c r="FI28" i="28"/>
  <c r="AD28" i="28"/>
  <c r="BJ28" i="28"/>
  <c r="CH28" i="28"/>
  <c r="DF28" i="28"/>
  <c r="ED28" i="28"/>
  <c r="FB28" i="28"/>
  <c r="W28" i="28"/>
  <c r="BK28" i="28"/>
  <c r="DG28" i="28"/>
  <c r="EU28" i="28"/>
  <c r="AI28" i="28"/>
  <c r="DC28" i="28"/>
  <c r="FG28" i="28"/>
  <c r="O14" i="28"/>
  <c r="W14" i="28"/>
  <c r="AE14" i="28"/>
  <c r="AM14" i="28"/>
  <c r="AU14" i="28"/>
  <c r="BK14" i="28"/>
  <c r="BS14" i="28"/>
  <c r="CA14" i="28"/>
  <c r="CI14" i="28"/>
  <c r="CQ14" i="28"/>
  <c r="CY14" i="28"/>
  <c r="DG14" i="28"/>
  <c r="DO14" i="28"/>
  <c r="DW14" i="28"/>
  <c r="EE14" i="28"/>
  <c r="EM14" i="28"/>
  <c r="EU14" i="28"/>
  <c r="FC14" i="28"/>
  <c r="FK14" i="28"/>
  <c r="AC14" i="28"/>
  <c r="DE14" i="28"/>
  <c r="P14" i="28"/>
  <c r="X14" i="28"/>
  <c r="AF14" i="28"/>
  <c r="AN14" i="28"/>
  <c r="AV14" i="28"/>
  <c r="BL14" i="28"/>
  <c r="BT14" i="28"/>
  <c r="CB14" i="28"/>
  <c r="CJ14" i="28"/>
  <c r="CR14" i="28"/>
  <c r="CZ14" i="28"/>
  <c r="DH14" i="28"/>
  <c r="DP14" i="28"/>
  <c r="DX14" i="28"/>
  <c r="EF14" i="28"/>
  <c r="EN14" i="28"/>
  <c r="EV14" i="28"/>
  <c r="FD14" i="28"/>
  <c r="FL14" i="28"/>
  <c r="CG14" i="28"/>
  <c r="EK14" i="28"/>
  <c r="Q14" i="28"/>
  <c r="Y14" i="28"/>
  <c r="AG14" i="28"/>
  <c r="AO14" i="28"/>
  <c r="AW14" i="28"/>
  <c r="BM14" i="28"/>
  <c r="BU14" i="28"/>
  <c r="CC14" i="28"/>
  <c r="CK14" i="28"/>
  <c r="CS14" i="28"/>
  <c r="DA14" i="28"/>
  <c r="DI14" i="28"/>
  <c r="DQ14" i="28"/>
  <c r="DY14" i="28"/>
  <c r="EG14" i="28"/>
  <c r="EO14" i="28"/>
  <c r="EW14" i="28"/>
  <c r="FE14" i="28"/>
  <c r="BY14" i="28"/>
  <c r="ES14" i="28"/>
  <c r="R14" i="28"/>
  <c r="Z14" i="28"/>
  <c r="AH14" i="28"/>
  <c r="AP14" i="28"/>
  <c r="AX14" i="28"/>
  <c r="BN14" i="28"/>
  <c r="BV14" i="28"/>
  <c r="CD14" i="28"/>
  <c r="CL14" i="28"/>
  <c r="CT14" i="28"/>
  <c r="DB14" i="28"/>
  <c r="DJ14" i="28"/>
  <c r="DR14" i="28"/>
  <c r="DZ14" i="28"/>
  <c r="EH14" i="28"/>
  <c r="EP14" i="28"/>
  <c r="EX14" i="28"/>
  <c r="FF14" i="28"/>
  <c r="DM14" i="28"/>
  <c r="S14" i="28"/>
  <c r="AA14" i="28"/>
  <c r="AI14" i="28"/>
  <c r="AQ14" i="28"/>
  <c r="AY14" i="28"/>
  <c r="BO14" i="28"/>
  <c r="BW14" i="28"/>
  <c r="CE14" i="28"/>
  <c r="CM14" i="28"/>
  <c r="CU14" i="28"/>
  <c r="DC14" i="28"/>
  <c r="DK14" i="28"/>
  <c r="DS14" i="28"/>
  <c r="EA14" i="28"/>
  <c r="EI14" i="28"/>
  <c r="EQ14" i="28"/>
  <c r="EY14" i="28"/>
  <c r="FG14" i="28"/>
  <c r="U14" i="28"/>
  <c r="AS14" i="28"/>
  <c r="CO14" i="28"/>
  <c r="DU14" i="28"/>
  <c r="FA14" i="28"/>
  <c r="T14" i="28"/>
  <c r="AB14" i="28"/>
  <c r="AJ14" i="28"/>
  <c r="AR14" i="28"/>
  <c r="AZ14" i="28"/>
  <c r="BP14" i="28"/>
  <c r="BX14" i="28"/>
  <c r="CF14" i="28"/>
  <c r="CN14" i="28"/>
  <c r="CV14" i="28"/>
  <c r="DD14" i="28"/>
  <c r="DL14" i="28"/>
  <c r="DT14" i="28"/>
  <c r="EB14" i="28"/>
  <c r="EJ14" i="28"/>
  <c r="ER14" i="28"/>
  <c r="EZ14" i="28"/>
  <c r="FH14" i="28"/>
  <c r="AK14" i="28"/>
  <c r="BQ14" i="28"/>
  <c r="CW14" i="28"/>
  <c r="EC14" i="28"/>
  <c r="FI14" i="28"/>
  <c r="N14" i="28"/>
  <c r="V14" i="28"/>
  <c r="AD14" i="28"/>
  <c r="AL14" i="28"/>
  <c r="AT14" i="28"/>
  <c r="BB14" i="28"/>
  <c r="BJ14" i="28"/>
  <c r="BR14" i="28"/>
  <c r="BZ14" i="28"/>
  <c r="CH14" i="28"/>
  <c r="CP14" i="28"/>
  <c r="CX14" i="28"/>
  <c r="DF14" i="28"/>
  <c r="DN14" i="28"/>
  <c r="DV14" i="28"/>
  <c r="ED14" i="28"/>
  <c r="EL14" i="28"/>
  <c r="ET14" i="28"/>
  <c r="FB14" i="28"/>
  <c r="FJ14" i="28"/>
  <c r="BA14" i="28"/>
  <c r="T15" i="28"/>
  <c r="AB15" i="28"/>
  <c r="AJ15" i="28"/>
  <c r="AR15" i="28"/>
  <c r="AZ15" i="28"/>
  <c r="BP15" i="28"/>
  <c r="BX15" i="28"/>
  <c r="CF15" i="28"/>
  <c r="CN15" i="28"/>
  <c r="CV15" i="28"/>
  <c r="DD15" i="28"/>
  <c r="DL15" i="28"/>
  <c r="DT15" i="28"/>
  <c r="EB15" i="28"/>
  <c r="EJ15" i="28"/>
  <c r="ER15" i="28"/>
  <c r="EZ15" i="28"/>
  <c r="FH15" i="28"/>
  <c r="R15" i="28"/>
  <c r="BN15" i="28"/>
  <c r="DJ15" i="28"/>
  <c r="EX15" i="28"/>
  <c r="U15" i="28"/>
  <c r="AC15" i="28"/>
  <c r="AK15" i="28"/>
  <c r="AS15" i="28"/>
  <c r="BA15" i="28"/>
  <c r="BQ15" i="28"/>
  <c r="BY15" i="28"/>
  <c r="CG15" i="28"/>
  <c r="CO15" i="28"/>
  <c r="CW15" i="28"/>
  <c r="DE15" i="28"/>
  <c r="DM15" i="28"/>
  <c r="DU15" i="28"/>
  <c r="EC15" i="28"/>
  <c r="EK15" i="28"/>
  <c r="ES15" i="28"/>
  <c r="FA15" i="28"/>
  <c r="FI15" i="28"/>
  <c r="AH15" i="28"/>
  <c r="DB15" i="28"/>
  <c r="EP15" i="28"/>
  <c r="N15" i="28"/>
  <c r="V15" i="28"/>
  <c r="AD15" i="28"/>
  <c r="AL15" i="28"/>
  <c r="AT15" i="28"/>
  <c r="BB15" i="28"/>
  <c r="BJ15" i="28"/>
  <c r="BR15" i="28"/>
  <c r="BZ15" i="28"/>
  <c r="CH15" i="28"/>
  <c r="CP15" i="28"/>
  <c r="CX15" i="28"/>
  <c r="DF15" i="28"/>
  <c r="DN15" i="28"/>
  <c r="DV15" i="28"/>
  <c r="ED15" i="28"/>
  <c r="EL15" i="28"/>
  <c r="ET15" i="28"/>
  <c r="FB15" i="28"/>
  <c r="FJ15" i="28"/>
  <c r="AP15" i="28"/>
  <c r="CD15" i="28"/>
  <c r="EH15" i="28"/>
  <c r="O15" i="28"/>
  <c r="W15" i="28"/>
  <c r="AE15" i="28"/>
  <c r="AM15" i="28"/>
  <c r="AU15" i="28"/>
  <c r="BK15" i="28"/>
  <c r="BS15" i="28"/>
  <c r="CA15" i="28"/>
  <c r="CI15" i="28"/>
  <c r="CQ15" i="28"/>
  <c r="CY15" i="28"/>
  <c r="DG15" i="28"/>
  <c r="DO15" i="28"/>
  <c r="DW15" i="28"/>
  <c r="EE15" i="28"/>
  <c r="EM15" i="28"/>
  <c r="EU15" i="28"/>
  <c r="FC15" i="28"/>
  <c r="FK15" i="28"/>
  <c r="Z15" i="28"/>
  <c r="CT15" i="28"/>
  <c r="P15" i="28"/>
  <c r="X15" i="28"/>
  <c r="AF15" i="28"/>
  <c r="AN15" i="28"/>
  <c r="AV15" i="28"/>
  <c r="BL15" i="28"/>
  <c r="BT15" i="28"/>
  <c r="CB15" i="28"/>
  <c r="CJ15" i="28"/>
  <c r="CR15" i="28"/>
  <c r="CZ15" i="28"/>
  <c r="DH15" i="28"/>
  <c r="DP15" i="28"/>
  <c r="DX15" i="28"/>
  <c r="EF15" i="28"/>
  <c r="EN15" i="28"/>
  <c r="EV15" i="28"/>
  <c r="FD15" i="28"/>
  <c r="FL15" i="28"/>
  <c r="DZ15" i="28"/>
  <c r="Q15" i="28"/>
  <c r="Y15" i="28"/>
  <c r="AG15" i="28"/>
  <c r="AO15" i="28"/>
  <c r="AW15" i="28"/>
  <c r="BM15" i="28"/>
  <c r="BU15" i="28"/>
  <c r="CC15" i="28"/>
  <c r="CK15" i="28"/>
  <c r="CS15" i="28"/>
  <c r="DA15" i="28"/>
  <c r="DI15" i="28"/>
  <c r="DQ15" i="28"/>
  <c r="DY15" i="28"/>
  <c r="EG15" i="28"/>
  <c r="EO15" i="28"/>
  <c r="EW15" i="28"/>
  <c r="FE15" i="28"/>
  <c r="AX15" i="28"/>
  <c r="BV15" i="28"/>
  <c r="DR15" i="28"/>
  <c r="FF15" i="28"/>
  <c r="S15" i="28"/>
  <c r="AA15" i="28"/>
  <c r="AI15" i="28"/>
  <c r="AQ15" i="28"/>
  <c r="AY15" i="28"/>
  <c r="BO15" i="28"/>
  <c r="BW15" i="28"/>
  <c r="CE15" i="28"/>
  <c r="CM15" i="28"/>
  <c r="CU15" i="28"/>
  <c r="DC15" i="28"/>
  <c r="DK15" i="28"/>
  <c r="DS15" i="28"/>
  <c r="EA15" i="28"/>
  <c r="EI15" i="28"/>
  <c r="EQ15" i="28"/>
  <c r="EY15" i="28"/>
  <c r="FG15" i="28"/>
  <c r="CL15" i="28"/>
  <c r="M25" i="28"/>
  <c r="M13" i="28"/>
  <c r="M11" i="28"/>
  <c r="M14" i="28"/>
  <c r="M10" i="28"/>
  <c r="I10" i="28" s="1"/>
  <c r="M26" i="28"/>
  <c r="I26" i="28" s="1"/>
  <c r="M28" i="28"/>
  <c r="I28" i="28" s="1"/>
  <c r="M15" i="28"/>
  <c r="M27" i="28"/>
  <c r="M12" i="28"/>
  <c r="M9" i="28"/>
  <c r="D13" i="28"/>
  <c r="F13" i="28" s="1"/>
  <c r="H13" i="28" s="1"/>
  <c r="S63" i="29"/>
  <c r="U15" i="29"/>
  <c r="H55" i="29"/>
  <c r="U18" i="29"/>
  <c r="L19" i="29"/>
  <c r="AJ15" i="29"/>
  <c r="AC18" i="29"/>
  <c r="AB19" i="29"/>
  <c r="Z27" i="29"/>
  <c r="H48" i="29"/>
  <c r="Q63" i="29"/>
  <c r="H66" i="29"/>
  <c r="AH54" i="29"/>
  <c r="R13" i="29"/>
  <c r="N14" i="29"/>
  <c r="AJ27" i="29"/>
  <c r="AA52" i="29"/>
  <c r="X53" i="29"/>
  <c r="N54" i="29"/>
  <c r="AE63" i="29"/>
  <c r="AF13" i="29"/>
  <c r="V14" i="29"/>
  <c r="L15" i="29"/>
  <c r="H47" i="29"/>
  <c r="V49" i="29"/>
  <c r="AK52" i="29"/>
  <c r="AH53" i="29"/>
  <c r="Q54" i="29"/>
  <c r="H61" i="29"/>
  <c r="M63" i="29"/>
  <c r="AI63" i="29"/>
  <c r="H65" i="29"/>
  <c r="L53" i="29"/>
  <c r="AF14" i="29"/>
  <c r="X54" i="29"/>
  <c r="AM55" i="29"/>
  <c r="AN55" i="29" s="1"/>
  <c r="H57" i="29"/>
  <c r="H60" i="29"/>
  <c r="H68" i="29"/>
  <c r="L52" i="29"/>
  <c r="M37" i="28"/>
  <c r="M39" i="28"/>
  <c r="I39" i="28" s="1"/>
  <c r="M41" i="28"/>
  <c r="M43" i="28"/>
  <c r="M46" i="28"/>
  <c r="M53" i="28"/>
  <c r="AH13" i="29"/>
  <c r="P14" i="29"/>
  <c r="Y14" i="29"/>
  <c r="AG14" i="29"/>
  <c r="M15" i="29"/>
  <c r="V15" i="29"/>
  <c r="AK15" i="29"/>
  <c r="L16" i="29"/>
  <c r="AH16" i="29"/>
  <c r="P17" i="29"/>
  <c r="Y17" i="29"/>
  <c r="AE18" i="29"/>
  <c r="M19" i="29"/>
  <c r="AD19" i="29"/>
  <c r="N49" i="29"/>
  <c r="AJ49" i="29"/>
  <c r="Q50" i="29"/>
  <c r="AG50" i="29"/>
  <c r="H50" i="29" s="1"/>
  <c r="Q51" i="29"/>
  <c r="AD51" i="29"/>
  <c r="T58" i="29"/>
  <c r="L63" i="29"/>
  <c r="L51" i="29"/>
  <c r="M34" i="28"/>
  <c r="P13" i="29"/>
  <c r="Q14" i="29"/>
  <c r="AD14" i="29"/>
  <c r="N15" i="29"/>
  <c r="AB15" i="29"/>
  <c r="AL15" i="29"/>
  <c r="T16" i="29"/>
  <c r="AJ16" i="29"/>
  <c r="Q17" i="29"/>
  <c r="AF17" i="29"/>
  <c r="Q18" i="29"/>
  <c r="N19" i="29"/>
  <c r="AJ19" i="29"/>
  <c r="AM23" i="29"/>
  <c r="AN23" i="29" s="1"/>
  <c r="AM26" i="29"/>
  <c r="AN26" i="29" s="1"/>
  <c r="T49" i="29"/>
  <c r="Y50" i="29"/>
  <c r="U51" i="29"/>
  <c r="AE51" i="29"/>
  <c r="P52" i="29"/>
  <c r="AB54" i="29"/>
  <c r="Z58" i="29"/>
  <c r="Y63" i="29"/>
  <c r="H67" i="29"/>
  <c r="L58" i="29"/>
  <c r="L54" i="29"/>
  <c r="L50" i="29"/>
  <c r="M36" i="28"/>
  <c r="M38" i="28"/>
  <c r="M40" i="28"/>
  <c r="M42" i="28"/>
  <c r="U14" i="29"/>
  <c r="AE14" i="29"/>
  <c r="T15" i="29"/>
  <c r="AD15" i="29"/>
  <c r="Z16" i="29"/>
  <c r="R17" i="29"/>
  <c r="AH17" i="29"/>
  <c r="U19" i="29"/>
  <c r="AK19" i="29"/>
  <c r="AB50" i="29"/>
  <c r="V51" i="29"/>
  <c r="AK51" i="29"/>
  <c r="AE58" i="29"/>
  <c r="L49" i="29"/>
  <c r="M35" i="28"/>
  <c r="FM35" i="28" s="1"/>
  <c r="FN35" i="28" s="1"/>
  <c r="AB16" i="29"/>
  <c r="X17" i="29"/>
  <c r="AB49" i="29"/>
  <c r="N50" i="29"/>
  <c r="AD50" i="29"/>
  <c r="M51" i="29"/>
  <c r="Z51" i="29"/>
  <c r="R58" i="29"/>
  <c r="AI58" i="29"/>
  <c r="I17" i="28"/>
  <c r="D12" i="28"/>
  <c r="F12" i="28" s="1"/>
  <c r="H12" i="28" s="1"/>
  <c r="D36" i="28"/>
  <c r="F36" i="28" s="1"/>
  <c r="H36" i="28" s="1"/>
  <c r="H51" i="28"/>
  <c r="I51" i="28" s="1"/>
  <c r="H49" i="28"/>
  <c r="I49" i="28" s="1"/>
  <c r="H48" i="28"/>
  <c r="I48" i="28" s="1"/>
  <c r="H50" i="28"/>
  <c r="I50" i="28" s="1"/>
  <c r="H52" i="28"/>
  <c r="I52" i="28" s="1"/>
  <c r="I24" i="28"/>
  <c r="I47" i="28"/>
  <c r="I22" i="28"/>
  <c r="AM12" i="29"/>
  <c r="AN12" i="29" s="1"/>
  <c r="Q13" i="29"/>
  <c r="AG13" i="29"/>
  <c r="R18" i="29"/>
  <c r="AD18" i="29"/>
  <c r="AC19" i="29"/>
  <c r="Y22" i="29"/>
  <c r="AM24" i="29"/>
  <c r="AN24" i="29" s="1"/>
  <c r="AB27" i="29"/>
  <c r="AM32" i="29"/>
  <c r="AN32" i="29" s="1"/>
  <c r="Z50" i="29"/>
  <c r="R51" i="29"/>
  <c r="AB51" i="29"/>
  <c r="AL51" i="29"/>
  <c r="R52" i="29"/>
  <c r="AB52" i="29"/>
  <c r="Z53" i="29"/>
  <c r="O54" i="29"/>
  <c r="Y54" i="29"/>
  <c r="AJ54" i="29"/>
  <c r="AM56" i="29"/>
  <c r="AN56" i="29" s="1"/>
  <c r="W58" i="29"/>
  <c r="AJ58" i="29"/>
  <c r="O63" i="29"/>
  <c r="AG63" i="29"/>
  <c r="H63" i="29" s="1"/>
  <c r="Z22" i="29"/>
  <c r="AH27" i="29"/>
  <c r="AM29" i="29"/>
  <c r="AN29" i="29" s="1"/>
  <c r="AM30" i="29"/>
  <c r="AN30" i="29" s="1"/>
  <c r="AM48" i="29"/>
  <c r="AN48" i="29" s="1"/>
  <c r="T51" i="29"/>
  <c r="AC51" i="29"/>
  <c r="S52" i="29"/>
  <c r="AD52" i="29"/>
  <c r="AF53" i="29"/>
  <c r="P54" i="29"/>
  <c r="Z54" i="29"/>
  <c r="AL54" i="29"/>
  <c r="Y58" i="29"/>
  <c r="H59" i="29"/>
  <c r="H69" i="29"/>
  <c r="AM47" i="29"/>
  <c r="AN47" i="29" s="1"/>
  <c r="V18" i="29"/>
  <c r="AF18" i="29"/>
  <c r="U52" i="29"/>
  <c r="AE52" i="29"/>
  <c r="AM60" i="29"/>
  <c r="AN60" i="29" s="1"/>
  <c r="AM62" i="29"/>
  <c r="AN62" i="29" s="1"/>
  <c r="AK63" i="29"/>
  <c r="W13" i="29"/>
  <c r="M18" i="29"/>
  <c r="W18" i="29"/>
  <c r="AG18" i="29"/>
  <c r="P22" i="29"/>
  <c r="AF22" i="29"/>
  <c r="AM33" i="29"/>
  <c r="AN33" i="29" s="1"/>
  <c r="V52" i="29"/>
  <c r="AF52" i="29"/>
  <c r="R54" i="29"/>
  <c r="AD54" i="29"/>
  <c r="M58" i="29"/>
  <c r="AB58" i="29"/>
  <c r="U63" i="29"/>
  <c r="H64" i="29"/>
  <c r="AM65" i="29"/>
  <c r="AN65" i="29" s="1"/>
  <c r="X13" i="29"/>
  <c r="W14" i="29"/>
  <c r="AK14" i="29"/>
  <c r="Y13" i="29"/>
  <c r="M14" i="29"/>
  <c r="X14" i="29"/>
  <c r="AL14" i="29"/>
  <c r="Z17" i="29"/>
  <c r="N18" i="29"/>
  <c r="X18" i="29"/>
  <c r="AH18" i="29"/>
  <c r="T19" i="29"/>
  <c r="AL19" i="29"/>
  <c r="AM21" i="29"/>
  <c r="AN21" i="29" s="1"/>
  <c r="Q22" i="29"/>
  <c r="AG22" i="29"/>
  <c r="AM25" i="29"/>
  <c r="AN25" i="29" s="1"/>
  <c r="L27" i="29"/>
  <c r="AM31" i="29"/>
  <c r="AN31" i="29" s="1"/>
  <c r="AD49" i="29"/>
  <c r="R50" i="29"/>
  <c r="AH50" i="29"/>
  <c r="N51" i="29"/>
  <c r="W51" i="29"/>
  <c r="AF51" i="29"/>
  <c r="M52" i="29"/>
  <c r="W52" i="29"/>
  <c r="AH52" i="29"/>
  <c r="T54" i="29"/>
  <c r="AE54" i="29"/>
  <c r="O58" i="29"/>
  <c r="AC58" i="29"/>
  <c r="W63" i="29"/>
  <c r="AM67" i="29"/>
  <c r="AN67" i="29" s="1"/>
  <c r="Z13" i="29"/>
  <c r="O18" i="29"/>
  <c r="Y18" i="29"/>
  <c r="AK18" i="29"/>
  <c r="R22" i="29"/>
  <c r="AH22" i="29"/>
  <c r="R27" i="29"/>
  <c r="AM28" i="29"/>
  <c r="AN28" i="29" s="1"/>
  <c r="T50" i="29"/>
  <c r="AJ50" i="29"/>
  <c r="O51" i="29"/>
  <c r="X51" i="29"/>
  <c r="AG51" i="29"/>
  <c r="H51" i="29" s="1"/>
  <c r="N52" i="29"/>
  <c r="X52" i="29"/>
  <c r="AI52" i="29"/>
  <c r="P53" i="29"/>
  <c r="V54" i="29"/>
  <c r="AF54" i="29"/>
  <c r="AM57" i="29"/>
  <c r="AN57" i="29" s="1"/>
  <c r="AM69" i="29"/>
  <c r="AN69" i="29" s="1"/>
  <c r="O13" i="29"/>
  <c r="AE13" i="29"/>
  <c r="O14" i="29"/>
  <c r="AC14" i="29"/>
  <c r="AC15" i="29"/>
  <c r="R16" i="29"/>
  <c r="AG17" i="29"/>
  <c r="P18" i="29"/>
  <c r="Z18" i="29"/>
  <c r="AL18" i="29"/>
  <c r="V19" i="29"/>
  <c r="AM20" i="29"/>
  <c r="AN20" i="29" s="1"/>
  <c r="T22" i="29"/>
  <c r="AJ22" i="29"/>
  <c r="T27" i="29"/>
  <c r="AL49" i="29"/>
  <c r="V50" i="29"/>
  <c r="AL50" i="29"/>
  <c r="P51" i="29"/>
  <c r="Y51" i="29"/>
  <c r="AH51" i="29"/>
  <c r="O52" i="29"/>
  <c r="Z52" i="29"/>
  <c r="W54" i="29"/>
  <c r="AG54" i="29"/>
  <c r="H54" i="29" s="1"/>
  <c r="S58" i="29"/>
  <c r="H62" i="29"/>
  <c r="S16" i="29"/>
  <c r="AA16" i="29"/>
  <c r="AI16" i="29"/>
  <c r="S27" i="29"/>
  <c r="AA27" i="29"/>
  <c r="AI27" i="29"/>
  <c r="M49" i="29"/>
  <c r="U49" i="29"/>
  <c r="AC49" i="29"/>
  <c r="AK49" i="29"/>
  <c r="S50" i="29"/>
  <c r="AA50" i="29"/>
  <c r="AI50" i="29"/>
  <c r="AE53" i="29"/>
  <c r="W53" i="29"/>
  <c r="O53" i="29"/>
  <c r="AK53" i="29"/>
  <c r="AC53" i="29"/>
  <c r="U53" i="29"/>
  <c r="M53" i="29"/>
  <c r="V53" i="29"/>
  <c r="AG53" i="29"/>
  <c r="H53" i="29" s="1"/>
  <c r="AL63" i="29"/>
  <c r="AD63" i="29"/>
  <c r="V63" i="29"/>
  <c r="N63" i="29"/>
  <c r="AJ63" i="29"/>
  <c r="AB63" i="29"/>
  <c r="T63" i="29"/>
  <c r="AH63" i="29"/>
  <c r="Z63" i="29"/>
  <c r="R63" i="29"/>
  <c r="AF63" i="29"/>
  <c r="X63" i="29"/>
  <c r="P63" i="29"/>
  <c r="AA63" i="29"/>
  <c r="T11" i="29"/>
  <c r="AM64" i="29"/>
  <c r="AN64" i="29" s="1"/>
  <c r="AI11" i="29"/>
  <c r="N11" i="29"/>
  <c r="V11" i="29"/>
  <c r="AD11" i="29"/>
  <c r="AL11" i="29"/>
  <c r="S13" i="29"/>
  <c r="AA13" i="29"/>
  <c r="AI13" i="29"/>
  <c r="O15" i="29"/>
  <c r="W15" i="29"/>
  <c r="AE15" i="29"/>
  <c r="M16" i="29"/>
  <c r="U16" i="29"/>
  <c r="AC16" i="29"/>
  <c r="AK16" i="29"/>
  <c r="S17" i="29"/>
  <c r="AA17" i="29"/>
  <c r="AI17" i="29"/>
  <c r="O19" i="29"/>
  <c r="W19" i="29"/>
  <c r="AE19" i="29"/>
  <c r="S22" i="29"/>
  <c r="AA22" i="29"/>
  <c r="AI22" i="29"/>
  <c r="M27" i="29"/>
  <c r="U27" i="29"/>
  <c r="AC27" i="29"/>
  <c r="AK27" i="29"/>
  <c r="O49" i="29"/>
  <c r="W49" i="29"/>
  <c r="AE49" i="29"/>
  <c r="M50" i="29"/>
  <c r="U50" i="29"/>
  <c r="AC50" i="29"/>
  <c r="AK50" i="29"/>
  <c r="S51" i="29"/>
  <c r="AA51" i="29"/>
  <c r="AJ51" i="29"/>
  <c r="AG52" i="29"/>
  <c r="H52" i="29" s="1"/>
  <c r="Y52" i="29"/>
  <c r="Q52" i="29"/>
  <c r="T52" i="29"/>
  <c r="AC52" i="29"/>
  <c r="AL52" i="29"/>
  <c r="N53" i="29"/>
  <c r="Y53" i="29"/>
  <c r="AI53" i="29"/>
  <c r="AF58" i="29"/>
  <c r="X58" i="29"/>
  <c r="P58" i="29"/>
  <c r="AL58" i="29"/>
  <c r="AD58" i="29"/>
  <c r="V58" i="29"/>
  <c r="N58" i="29"/>
  <c r="U58" i="29"/>
  <c r="AG58" i="29"/>
  <c r="H58" i="29" s="1"/>
  <c r="AK11" i="29"/>
  <c r="O11" i="29"/>
  <c r="W11" i="29"/>
  <c r="AE11" i="29"/>
  <c r="L13" i="29"/>
  <c r="T13" i="29"/>
  <c r="AB13" i="29"/>
  <c r="AJ13" i="29"/>
  <c r="R14" i="29"/>
  <c r="Z14" i="29"/>
  <c r="AH14" i="29"/>
  <c r="P15" i="29"/>
  <c r="X15" i="29"/>
  <c r="AF15" i="29"/>
  <c r="N16" i="29"/>
  <c r="V16" i="29"/>
  <c r="AD16" i="29"/>
  <c r="AL16" i="29"/>
  <c r="L17" i="29"/>
  <c r="T17" i="29"/>
  <c r="AB17" i="29"/>
  <c r="AJ17" i="29"/>
  <c r="P19" i="29"/>
  <c r="X19" i="29"/>
  <c r="AF19" i="29"/>
  <c r="N27" i="29"/>
  <c r="V27" i="29"/>
  <c r="AD27" i="29"/>
  <c r="AL27" i="29"/>
  <c r="P49" i="29"/>
  <c r="X49" i="29"/>
  <c r="AF49" i="29"/>
  <c r="AJ53" i="29"/>
  <c r="AM61" i="29"/>
  <c r="AN61" i="29" s="1"/>
  <c r="AM68" i="29"/>
  <c r="AN68" i="29" s="1"/>
  <c r="S11" i="29"/>
  <c r="L11" i="29"/>
  <c r="AJ11" i="29"/>
  <c r="M11" i="29"/>
  <c r="AC11" i="29"/>
  <c r="P11" i="29"/>
  <c r="X11" i="29"/>
  <c r="AF11" i="29"/>
  <c r="M13" i="29"/>
  <c r="U13" i="29"/>
  <c r="AC13" i="29"/>
  <c r="AK13" i="29"/>
  <c r="S14" i="29"/>
  <c r="AA14" i="29"/>
  <c r="AI14" i="29"/>
  <c r="Q15" i="29"/>
  <c r="Y15" i="29"/>
  <c r="AG15" i="29"/>
  <c r="O16" i="29"/>
  <c r="W16" i="29"/>
  <c r="AE16" i="29"/>
  <c r="M17" i="29"/>
  <c r="U17" i="29"/>
  <c r="AC17" i="29"/>
  <c r="AK17" i="29"/>
  <c r="S18" i="29"/>
  <c r="AA18" i="29"/>
  <c r="AI18" i="29"/>
  <c r="Q19" i="29"/>
  <c r="Y19" i="29"/>
  <c r="AG19" i="29"/>
  <c r="M22" i="29"/>
  <c r="U22" i="29"/>
  <c r="AC22" i="29"/>
  <c r="AK22" i="29"/>
  <c r="O27" i="29"/>
  <c r="W27" i="29"/>
  <c r="AE27" i="29"/>
  <c r="Q49" i="29"/>
  <c r="Y49" i="29"/>
  <c r="AG49" i="29"/>
  <c r="H49" i="29" s="1"/>
  <c r="O50" i="29"/>
  <c r="W50" i="29"/>
  <c r="AE50" i="29"/>
  <c r="Q53" i="29"/>
  <c r="AA53" i="29"/>
  <c r="AL53" i="29"/>
  <c r="AM59" i="29"/>
  <c r="AN59" i="29" s="1"/>
  <c r="AA11" i="29"/>
  <c r="AB11" i="29"/>
  <c r="U11" i="29"/>
  <c r="Q11" i="29"/>
  <c r="Y11" i="29"/>
  <c r="AG11" i="29"/>
  <c r="N13" i="29"/>
  <c r="V13" i="29"/>
  <c r="AD13" i="29"/>
  <c r="L14" i="29"/>
  <c r="T14" i="29"/>
  <c r="AB14" i="29"/>
  <c r="R15" i="29"/>
  <c r="Z15" i="29"/>
  <c r="AH15" i="29"/>
  <c r="P16" i="29"/>
  <c r="X16" i="29"/>
  <c r="AF16" i="29"/>
  <c r="N17" i="29"/>
  <c r="V17" i="29"/>
  <c r="AD17" i="29"/>
  <c r="AL17" i="29"/>
  <c r="L18" i="29"/>
  <c r="T18" i="29"/>
  <c r="AB18" i="29"/>
  <c r="R19" i="29"/>
  <c r="Z19" i="29"/>
  <c r="AH19" i="29"/>
  <c r="N22" i="29"/>
  <c r="V22" i="29"/>
  <c r="AD22" i="29"/>
  <c r="AL22" i="29"/>
  <c r="P27" i="29"/>
  <c r="X27" i="29"/>
  <c r="AF27" i="29"/>
  <c r="R49" i="29"/>
  <c r="Z49" i="29"/>
  <c r="AH49" i="29"/>
  <c r="P50" i="29"/>
  <c r="X50" i="29"/>
  <c r="R53" i="29"/>
  <c r="AB53" i="29"/>
  <c r="R11" i="29"/>
  <c r="Z11" i="29"/>
  <c r="S15" i="29"/>
  <c r="AA15" i="29"/>
  <c r="Q16" i="29"/>
  <c r="Y16" i="29"/>
  <c r="O17" i="29"/>
  <c r="W17" i="29"/>
  <c r="S19" i="29"/>
  <c r="AA19" i="29"/>
  <c r="O22" i="29"/>
  <c r="W22" i="29"/>
  <c r="Q27" i="29"/>
  <c r="Y27" i="29"/>
  <c r="S49" i="29"/>
  <c r="AA49" i="29"/>
  <c r="S53" i="29"/>
  <c r="AD53" i="29"/>
  <c r="Q58" i="29"/>
  <c r="AA58" i="29"/>
  <c r="AK58" i="29"/>
  <c r="AM66" i="29"/>
  <c r="AN66" i="29" s="1"/>
  <c r="S54" i="29"/>
  <c r="AA54" i="29"/>
  <c r="AI54" i="29"/>
  <c r="M54" i="29"/>
  <c r="U54" i="29"/>
  <c r="AC54" i="29"/>
  <c r="I20" i="28"/>
  <c r="I21" i="28"/>
  <c r="I19" i="28"/>
  <c r="I23" i="28"/>
  <c r="I45" i="28"/>
  <c r="I18" i="28"/>
  <c r="P55" i="37" l="1"/>
  <c r="FM13" i="28"/>
  <c r="FN13" i="28" s="1"/>
  <c r="K7" i="2"/>
  <c r="I7" i="2" s="1"/>
  <c r="K20" i="2"/>
  <c r="I20" i="2" s="1"/>
  <c r="K18" i="2"/>
  <c r="I18" i="2" s="1"/>
  <c r="K26" i="2"/>
  <c r="I26" i="2" s="1"/>
  <c r="K19" i="2"/>
  <c r="I19" i="2" s="1"/>
  <c r="K24" i="2"/>
  <c r="I24" i="2" s="1"/>
  <c r="K14" i="2"/>
  <c r="I14" i="2" s="1"/>
  <c r="K22" i="2"/>
  <c r="I22" i="2" s="1"/>
  <c r="J21" i="2"/>
  <c r="L21" i="2"/>
  <c r="K8" i="2"/>
  <c r="I8" i="2" s="1"/>
  <c r="K23" i="2"/>
  <c r="I23" i="2" s="1"/>
  <c r="K25" i="2"/>
  <c r="I25" i="2" s="1"/>
  <c r="K17" i="2"/>
  <c r="I17" i="2" s="1"/>
  <c r="FM46" i="28"/>
  <c r="FN46" i="28" s="1"/>
  <c r="FM34" i="28"/>
  <c r="FN34" i="28" s="1"/>
  <c r="P56" i="37" s="1"/>
  <c r="FM25" i="28"/>
  <c r="FN25" i="28" s="1"/>
  <c r="O50" i="37" s="1"/>
  <c r="AE50" i="37" s="1"/>
  <c r="FM10" i="28"/>
  <c r="FN10" i="28" s="1"/>
  <c r="O44" i="37" s="1"/>
  <c r="AE44" i="37" s="1"/>
  <c r="FM11" i="28"/>
  <c r="FN11" i="28" s="1"/>
  <c r="O13" i="37" s="1"/>
  <c r="AE13" i="37" s="1"/>
  <c r="I53" i="28"/>
  <c r="FM53" i="28"/>
  <c r="FN53" i="28" s="1"/>
  <c r="P63" i="37" s="1"/>
  <c r="AF63" i="37" s="1"/>
  <c r="FM26" i="28"/>
  <c r="FN26" i="28" s="1"/>
  <c r="O59" i="37" s="1"/>
  <c r="FM9" i="28"/>
  <c r="FN9" i="28" s="1"/>
  <c r="FM28" i="28"/>
  <c r="FM12" i="28"/>
  <c r="FN12" i="28" s="1"/>
  <c r="FM27" i="28"/>
  <c r="FN27" i="28" s="1"/>
  <c r="O54" i="37" s="1"/>
  <c r="I9" i="28"/>
  <c r="FM14" i="28"/>
  <c r="FN14" i="28" s="1"/>
  <c r="O118" i="37" s="1"/>
  <c r="AE118" i="37" s="1"/>
  <c r="I14" i="28"/>
  <c r="FM15" i="28"/>
  <c r="FN15" i="28" s="1"/>
  <c r="O119" i="37" s="1"/>
  <c r="AE119" i="37" s="1"/>
  <c r="AM52" i="29"/>
  <c r="AN52" i="29" s="1"/>
  <c r="FM36" i="28"/>
  <c r="FN36" i="28" s="1"/>
  <c r="FM43" i="28"/>
  <c r="FN43" i="28" s="1"/>
  <c r="FM41" i="28"/>
  <c r="FN41" i="28" s="1"/>
  <c r="P58" i="37" s="1"/>
  <c r="FM39" i="28"/>
  <c r="FN39" i="28" s="1"/>
  <c r="P43" i="37" s="1"/>
  <c r="AF43" i="37" s="1"/>
  <c r="FM42" i="28"/>
  <c r="FN42" i="28" s="1"/>
  <c r="P28" i="37" s="1"/>
  <c r="FM40" i="28"/>
  <c r="FN40" i="28" s="1"/>
  <c r="P33" i="37" s="1"/>
  <c r="AF33" i="37" s="1"/>
  <c r="FM37" i="28"/>
  <c r="FN37" i="28" s="1"/>
  <c r="FM38" i="28"/>
  <c r="FN38" i="28" s="1"/>
  <c r="I13" i="28"/>
  <c r="I12" i="28"/>
  <c r="I34" i="28"/>
  <c r="I42" i="28"/>
  <c r="I37" i="28"/>
  <c r="I40" i="28"/>
  <c r="I43" i="28"/>
  <c r="I35" i="28"/>
  <c r="I41" i="28"/>
  <c r="I36" i="28"/>
  <c r="AM27" i="29"/>
  <c r="AN27" i="29" s="1"/>
  <c r="AM54" i="29"/>
  <c r="AN54" i="29" s="1"/>
  <c r="AM49" i="29"/>
  <c r="AN49" i="29" s="1"/>
  <c r="AM63" i="29"/>
  <c r="AN63" i="29" s="1"/>
  <c r="AM53" i="29"/>
  <c r="AN53" i="29" s="1"/>
  <c r="AM50" i="29"/>
  <c r="AN50" i="29" s="1"/>
  <c r="AM22" i="29"/>
  <c r="AN22" i="29" s="1"/>
  <c r="AM51" i="29"/>
  <c r="AN51" i="29" s="1"/>
  <c r="AM16" i="29"/>
  <c r="AN16" i="29" s="1"/>
  <c r="AM18" i="29"/>
  <c r="AN18" i="29" s="1"/>
  <c r="AM19" i="29"/>
  <c r="AN19" i="29" s="1"/>
  <c r="AM15" i="29"/>
  <c r="AN15" i="29" s="1"/>
  <c r="AM17" i="29"/>
  <c r="AN17" i="29" s="1"/>
  <c r="AM58" i="29"/>
  <c r="AN58" i="29" s="1"/>
  <c r="AM11" i="29"/>
  <c r="AN11" i="29" s="1"/>
  <c r="AM14" i="29"/>
  <c r="AN14" i="29" s="1"/>
  <c r="AM13" i="29"/>
  <c r="AN13" i="29" s="1"/>
  <c r="I44" i="28"/>
  <c r="I11" i="28"/>
  <c r="I38" i="28"/>
  <c r="I46" i="28"/>
  <c r="I15" i="28"/>
  <c r="I27" i="28"/>
  <c r="I25" i="28"/>
  <c r="I16" i="28"/>
  <c r="AE59" i="37" l="1"/>
  <c r="J59" i="37"/>
  <c r="AF58" i="37"/>
  <c r="J58" i="37"/>
  <c r="F58" i="37" s="1"/>
  <c r="AF28" i="37"/>
  <c r="J28" i="37"/>
  <c r="I28" i="37" s="1"/>
  <c r="J56" i="37"/>
  <c r="I56" i="37" s="1"/>
  <c r="AF56" i="37"/>
  <c r="P53" i="37"/>
  <c r="P62" i="37"/>
  <c r="P57" i="37"/>
  <c r="AF55" i="37"/>
  <c r="J55" i="37"/>
  <c r="AE54" i="37"/>
  <c r="J54" i="37"/>
  <c r="I54" i="37" s="1"/>
  <c r="O61" i="37"/>
  <c r="AE61" i="37" s="1"/>
  <c r="O52" i="37"/>
  <c r="AE52" i="37" s="1"/>
  <c r="O60" i="37"/>
  <c r="I115" i="37"/>
  <c r="F115" i="37"/>
  <c r="I159" i="37"/>
  <c r="F159" i="37"/>
  <c r="I189" i="37"/>
  <c r="F189" i="37"/>
  <c r="I37" i="37"/>
  <c r="F37" i="37"/>
  <c r="I110" i="37"/>
  <c r="F110" i="37"/>
  <c r="I160" i="37"/>
  <c r="F160" i="37"/>
  <c r="I31" i="37"/>
  <c r="F31" i="37"/>
  <c r="I155" i="37"/>
  <c r="F155" i="37"/>
  <c r="I32" i="37"/>
  <c r="F32" i="37"/>
  <c r="I98" i="37"/>
  <c r="F98" i="37"/>
  <c r="I66" i="37"/>
  <c r="F66" i="37"/>
  <c r="I45" i="37"/>
  <c r="F45" i="37"/>
  <c r="I48" i="37"/>
  <c r="F48" i="37"/>
  <c r="I12" i="37"/>
  <c r="F12" i="37"/>
  <c r="I84" i="37"/>
  <c r="F84" i="37"/>
  <c r="I49" i="37"/>
  <c r="F49" i="37"/>
  <c r="I213" i="37"/>
  <c r="F213" i="37"/>
  <c r="I23" i="37"/>
  <c r="F23" i="37"/>
  <c r="I19" i="37"/>
  <c r="F19" i="37"/>
  <c r="I123" i="37"/>
  <c r="F123" i="37"/>
  <c r="I190" i="37"/>
  <c r="F190" i="37"/>
  <c r="I21" i="37"/>
  <c r="F21" i="37"/>
  <c r="I202" i="37"/>
  <c r="F202" i="37"/>
  <c r="I120" i="37"/>
  <c r="F120" i="37"/>
  <c r="I124" i="37"/>
  <c r="F124" i="37"/>
  <c r="I173" i="37"/>
  <c r="F173" i="37"/>
  <c r="I65" i="37"/>
  <c r="F65" i="37"/>
  <c r="I101" i="37"/>
  <c r="F101" i="37"/>
  <c r="I15" i="37"/>
  <c r="F15" i="37"/>
  <c r="I103" i="37"/>
  <c r="F103" i="37"/>
  <c r="I67" i="37"/>
  <c r="F67" i="37"/>
  <c r="I187" i="37"/>
  <c r="F187" i="37"/>
  <c r="I133" i="37"/>
  <c r="F133" i="37"/>
  <c r="I91" i="37"/>
  <c r="F91" i="37"/>
  <c r="I143" i="37"/>
  <c r="F143" i="37"/>
  <c r="I80" i="37"/>
  <c r="F80" i="37"/>
  <c r="I151" i="37"/>
  <c r="F151" i="37"/>
  <c r="I47" i="37"/>
  <c r="F47" i="37"/>
  <c r="I145" i="37"/>
  <c r="F145" i="37"/>
  <c r="I25" i="37"/>
  <c r="F25" i="37"/>
  <c r="I113" i="37"/>
  <c r="F113" i="37"/>
  <c r="I122" i="37"/>
  <c r="F122" i="37"/>
  <c r="I94" i="37"/>
  <c r="F94" i="37"/>
  <c r="I210" i="37"/>
  <c r="F210" i="37"/>
  <c r="I208" i="37"/>
  <c r="F208" i="37"/>
  <c r="I169" i="37"/>
  <c r="F169" i="37"/>
  <c r="I116" i="37"/>
  <c r="F116" i="37"/>
  <c r="I201" i="37"/>
  <c r="F201" i="37"/>
  <c r="I129" i="37"/>
  <c r="F129" i="37"/>
  <c r="I134" i="37"/>
  <c r="F134" i="37"/>
  <c r="I177" i="37"/>
  <c r="F177" i="37"/>
  <c r="I149" i="37"/>
  <c r="F149" i="37"/>
  <c r="I181" i="37"/>
  <c r="F181" i="37"/>
  <c r="I86" i="37"/>
  <c r="F86" i="37"/>
  <c r="I82" i="37"/>
  <c r="F82" i="37"/>
  <c r="I127" i="37"/>
  <c r="F127" i="37"/>
  <c r="I88" i="37"/>
  <c r="F88" i="37"/>
  <c r="I46" i="37"/>
  <c r="F46" i="37"/>
  <c r="I194" i="37"/>
  <c r="F194" i="37"/>
  <c r="I178" i="37"/>
  <c r="F178" i="37"/>
  <c r="I41" i="37"/>
  <c r="F41" i="37"/>
  <c r="I128" i="37"/>
  <c r="F128" i="37"/>
  <c r="I105" i="37"/>
  <c r="F105" i="37"/>
  <c r="I174" i="37"/>
  <c r="F174" i="37"/>
  <c r="I185" i="37"/>
  <c r="F185" i="37"/>
  <c r="I132" i="37"/>
  <c r="F132" i="37"/>
  <c r="I89" i="37"/>
  <c r="F89" i="37"/>
  <c r="I205" i="37"/>
  <c r="F205" i="37"/>
  <c r="I171" i="37"/>
  <c r="F171" i="37"/>
  <c r="I114" i="37"/>
  <c r="F114" i="37"/>
  <c r="I140" i="37"/>
  <c r="F140" i="37"/>
  <c r="I78" i="37"/>
  <c r="F78" i="37"/>
  <c r="I22" i="37"/>
  <c r="F22" i="37"/>
  <c r="I163" i="37"/>
  <c r="F163" i="37"/>
  <c r="I81" i="37"/>
  <c r="F81" i="37"/>
  <c r="I193" i="37"/>
  <c r="F193" i="37"/>
  <c r="I200" i="37"/>
  <c r="F200" i="37"/>
  <c r="I130" i="37"/>
  <c r="F130" i="37"/>
  <c r="I104" i="37"/>
  <c r="F104" i="37"/>
  <c r="I195" i="37"/>
  <c r="F195" i="37"/>
  <c r="I14" i="37"/>
  <c r="F14" i="37"/>
  <c r="I42" i="37"/>
  <c r="F42" i="37"/>
  <c r="I30" i="37"/>
  <c r="F30" i="37"/>
  <c r="I36" i="37"/>
  <c r="F36" i="37"/>
  <c r="I126" i="37"/>
  <c r="F126" i="37"/>
  <c r="I107" i="37"/>
  <c r="F107" i="37"/>
  <c r="I20" i="37"/>
  <c r="F20" i="37"/>
  <c r="I184" i="37"/>
  <c r="F184" i="37"/>
  <c r="I165" i="37"/>
  <c r="F165" i="37"/>
  <c r="I29" i="37"/>
  <c r="F29" i="37"/>
  <c r="I164" i="37"/>
  <c r="F164" i="37"/>
  <c r="I83" i="37"/>
  <c r="F83" i="37"/>
  <c r="I95" i="37"/>
  <c r="F95" i="37"/>
  <c r="I68" i="37"/>
  <c r="F68" i="37"/>
  <c r="I167" i="37"/>
  <c r="F167" i="37"/>
  <c r="I180" i="37"/>
  <c r="F180" i="37"/>
  <c r="I138" i="37"/>
  <c r="F138" i="37"/>
  <c r="I172" i="37"/>
  <c r="F172" i="37"/>
  <c r="I141" i="37"/>
  <c r="F141" i="37"/>
  <c r="I207" i="37"/>
  <c r="F207" i="37"/>
  <c r="I212" i="37"/>
  <c r="F212" i="37"/>
  <c r="I90" i="37"/>
  <c r="F90" i="37"/>
  <c r="I117" i="37"/>
  <c r="F117" i="37"/>
  <c r="I168" i="37"/>
  <c r="F168" i="37"/>
  <c r="I170" i="37"/>
  <c r="F170" i="37"/>
  <c r="I153" i="37"/>
  <c r="F153" i="37"/>
  <c r="I96" i="37"/>
  <c r="F96" i="37"/>
  <c r="I179" i="37"/>
  <c r="F179" i="37"/>
  <c r="I188" i="37"/>
  <c r="F188" i="37"/>
  <c r="I154" i="37"/>
  <c r="F154" i="37"/>
  <c r="F28" i="37"/>
  <c r="I64" i="37"/>
  <c r="F64" i="37"/>
  <c r="I158" i="37"/>
  <c r="F158" i="37"/>
  <c r="I108" i="37"/>
  <c r="F108" i="37"/>
  <c r="I144" i="37"/>
  <c r="F144" i="37"/>
  <c r="I142" i="37"/>
  <c r="F142" i="37"/>
  <c r="I121" i="37"/>
  <c r="F121" i="37"/>
  <c r="I176" i="37"/>
  <c r="F176" i="37"/>
  <c r="I166" i="37"/>
  <c r="F166" i="37"/>
  <c r="I106" i="37"/>
  <c r="F106" i="37"/>
  <c r="I87" i="37"/>
  <c r="F87" i="37"/>
  <c r="I102" i="37"/>
  <c r="F102" i="37"/>
  <c r="I192" i="37"/>
  <c r="F192" i="37"/>
  <c r="I204" i="37"/>
  <c r="F204" i="37"/>
  <c r="I135" i="37"/>
  <c r="F135" i="37"/>
  <c r="I156" i="37"/>
  <c r="F156" i="37"/>
  <c r="I196" i="37"/>
  <c r="F196" i="37"/>
  <c r="I161" i="37"/>
  <c r="F161" i="37"/>
  <c r="I137" i="37"/>
  <c r="F137" i="37"/>
  <c r="I111" i="37"/>
  <c r="F111" i="37"/>
  <c r="I148" i="37"/>
  <c r="F148" i="37"/>
  <c r="I85" i="37"/>
  <c r="F85" i="37"/>
  <c r="I182" i="37"/>
  <c r="F182" i="37"/>
  <c r="I152" i="37"/>
  <c r="F152" i="37"/>
  <c r="I92" i="37"/>
  <c r="F92" i="37"/>
  <c r="I39" i="37"/>
  <c r="F39" i="37"/>
  <c r="I157" i="37"/>
  <c r="F157" i="37"/>
  <c r="I112" i="37"/>
  <c r="F112" i="37"/>
  <c r="I26" i="37"/>
  <c r="F26" i="37"/>
  <c r="I125" i="37"/>
  <c r="F125" i="37"/>
  <c r="I139" i="37"/>
  <c r="F139" i="37"/>
  <c r="I206" i="37"/>
  <c r="F206" i="37"/>
  <c r="I59" i="37"/>
  <c r="F59" i="37"/>
  <c r="I147" i="37"/>
  <c r="F147" i="37"/>
  <c r="I69" i="37"/>
  <c r="F69" i="37"/>
  <c r="I191" i="37"/>
  <c r="F191" i="37"/>
  <c r="J7" i="2"/>
  <c r="L7" i="2"/>
  <c r="J20" i="2"/>
  <c r="J18" i="2"/>
  <c r="L18" i="2"/>
  <c r="L20" i="2"/>
  <c r="L26" i="2"/>
  <c r="J26" i="2"/>
  <c r="L23" i="2"/>
  <c r="J23" i="2"/>
  <c r="J8" i="2"/>
  <c r="L8" i="2"/>
  <c r="L25" i="2"/>
  <c r="J25" i="2"/>
  <c r="L17" i="2"/>
  <c r="J17" i="2"/>
  <c r="L24" i="2"/>
  <c r="J24" i="2"/>
  <c r="J22" i="2"/>
  <c r="L22" i="2"/>
  <c r="J14" i="2"/>
  <c r="L14" i="2"/>
  <c r="L19" i="2"/>
  <c r="J19" i="2"/>
  <c r="FN28" i="28"/>
  <c r="O63" i="37" s="1"/>
  <c r="AE63" i="37" s="1"/>
  <c r="I54" i="28"/>
  <c r="I55" i="28" s="1"/>
  <c r="I29" i="28"/>
  <c r="I30" i="28" s="1"/>
  <c r="I58" i="37" l="1"/>
  <c r="F56" i="37"/>
  <c r="AF53" i="37"/>
  <c r="J53" i="37"/>
  <c r="AF62" i="37"/>
  <c r="J62" i="37"/>
  <c r="AF57" i="37"/>
  <c r="J57" i="37"/>
  <c r="F54" i="37"/>
  <c r="AE60" i="37"/>
  <c r="J60" i="37"/>
  <c r="I93" i="37"/>
  <c r="F93" i="37"/>
  <c r="I186" i="37"/>
  <c r="F186" i="37"/>
  <c r="I27" i="37"/>
  <c r="F27" i="37"/>
  <c r="I175" i="37"/>
  <c r="F175" i="37"/>
  <c r="I3" i="28"/>
  <c r="I5" i="28" s="1"/>
  <c r="I53" i="37" l="1"/>
  <c r="F53" i="37"/>
  <c r="F62" i="37"/>
  <c r="I62" i="37"/>
  <c r="I57" i="37"/>
  <c r="F57" i="37"/>
  <c r="I60" i="37"/>
  <c r="F60" i="37"/>
  <c r="H5" i="12"/>
  <c r="N4" i="12" s="1"/>
  <c r="K75" i="37" s="1"/>
  <c r="H32" i="27"/>
  <c r="H31" i="27"/>
  <c r="H30" i="27"/>
  <c r="H29" i="27"/>
  <c r="G28" i="27"/>
  <c r="H28" i="27" s="1"/>
  <c r="G27" i="27"/>
  <c r="H27" i="27" s="1"/>
  <c r="H22" i="27"/>
  <c r="H21" i="27"/>
  <c r="H20" i="27"/>
  <c r="H19" i="27"/>
  <c r="N8" i="27" s="1"/>
  <c r="L72" i="37" s="1"/>
  <c r="G18" i="27"/>
  <c r="H18" i="27" s="1"/>
  <c r="G17" i="27"/>
  <c r="H17" i="27" s="1"/>
  <c r="H12" i="27"/>
  <c r="H11" i="27"/>
  <c r="N12" i="27" s="1"/>
  <c r="N9" i="2" s="1"/>
  <c r="G8" i="27"/>
  <c r="H8" i="27" s="1"/>
  <c r="N7" i="27" s="1"/>
  <c r="L71" i="37" s="1"/>
  <c r="AB71" i="37" s="1"/>
  <c r="H7" i="27"/>
  <c r="AB72" i="37" l="1"/>
  <c r="AA75" i="37"/>
  <c r="J75" i="37"/>
  <c r="N13" i="27"/>
  <c r="N13" i="2" s="1"/>
  <c r="N6" i="27"/>
  <c r="L73" i="37" s="1"/>
  <c r="N9" i="27"/>
  <c r="L74" i="37" s="1"/>
  <c r="AB74" i="37" s="1"/>
  <c r="N18" i="11"/>
  <c r="AB73" i="37" l="1"/>
  <c r="J73" i="37"/>
  <c r="F75" i="37"/>
  <c r="I75" i="37"/>
  <c r="N30" i="3"/>
  <c r="P27" i="2" s="1"/>
  <c r="F31" i="11"/>
  <c r="G31" i="11" s="1"/>
  <c r="F22" i="4"/>
  <c r="I73" i="37" l="1"/>
  <c r="F73" i="37"/>
  <c r="I197" i="37"/>
  <c r="F197" i="37"/>
  <c r="I40" i="37"/>
  <c r="F40" i="37"/>
  <c r="I199" i="37"/>
  <c r="F199" i="37"/>
  <c r="I203" i="37"/>
  <c r="F203" i="37"/>
  <c r="H10" i="12"/>
  <c r="H11" i="12"/>
  <c r="N12" i="12" s="1"/>
  <c r="M9" i="2" s="1"/>
  <c r="H12" i="4"/>
  <c r="G12" i="4"/>
  <c r="F12" i="4"/>
  <c r="E12" i="4"/>
  <c r="D12" i="4"/>
  <c r="N11" i="12" l="1"/>
  <c r="M12" i="2" s="1"/>
  <c r="G22" i="4"/>
  <c r="G18" i="4"/>
  <c r="G20" i="4"/>
  <c r="G19" i="4"/>
  <c r="G21" i="4"/>
  <c r="N7" i="4" s="1"/>
  <c r="Z13" i="2" s="1"/>
  <c r="F18" i="11"/>
  <c r="N9" i="11"/>
  <c r="N8" i="11"/>
  <c r="F8" i="11"/>
  <c r="M97" i="37" l="1"/>
  <c r="M34" i="37"/>
  <c r="N6" i="4"/>
  <c r="Z6" i="2" s="1"/>
  <c r="K6" i="2" s="1"/>
  <c r="I6" i="2" s="1"/>
  <c r="N5" i="4"/>
  <c r="Z11" i="2" s="1"/>
  <c r="N4" i="4"/>
  <c r="Z10" i="2" s="1"/>
  <c r="G20" i="11"/>
  <c r="N22" i="11" s="1"/>
  <c r="G19" i="11"/>
  <c r="N21" i="11" s="1"/>
  <c r="M33" i="37" s="1"/>
  <c r="G8" i="11"/>
  <c r="N7" i="11" s="1"/>
  <c r="G18" i="11"/>
  <c r="N20" i="11" s="1"/>
  <c r="N8" i="4"/>
  <c r="Z16" i="2" s="1"/>
  <c r="K16" i="2" s="1"/>
  <c r="AC33" i="37" l="1"/>
  <c r="J33" i="37"/>
  <c r="M70" i="37"/>
  <c r="AC34" i="37"/>
  <c r="J34" i="37"/>
  <c r="M35" i="37"/>
  <c r="AC97" i="37"/>
  <c r="J97" i="37"/>
  <c r="M43" i="37"/>
  <c r="I183" i="37"/>
  <c r="F183" i="37"/>
  <c r="J6" i="2"/>
  <c r="L6" i="2"/>
  <c r="I16" i="2"/>
  <c r="J16" i="2"/>
  <c r="L16" i="2"/>
  <c r="G10" i="6"/>
  <c r="H10" i="6" s="1"/>
  <c r="R12" i="6" s="1"/>
  <c r="Y16" i="37" s="1"/>
  <c r="G9" i="6"/>
  <c r="H9" i="6" s="1"/>
  <c r="R11" i="6" s="1"/>
  <c r="Y17" i="37" s="1"/>
  <c r="G8" i="6"/>
  <c r="H8" i="6" s="1"/>
  <c r="R10" i="6" s="1"/>
  <c r="Y18" i="37" s="1"/>
  <c r="C10" i="6"/>
  <c r="N28" i="3"/>
  <c r="P15" i="2" s="1"/>
  <c r="N27" i="3"/>
  <c r="P5" i="2" s="1"/>
  <c r="N26" i="3"/>
  <c r="P11" i="2" s="1"/>
  <c r="N25" i="3"/>
  <c r="P10" i="2" s="1"/>
  <c r="N30" i="11"/>
  <c r="O9" i="2" s="1"/>
  <c r="K9" i="2" s="1"/>
  <c r="I9" i="2" s="1"/>
  <c r="N26" i="11"/>
  <c r="M77" i="37" s="1"/>
  <c r="N25" i="11"/>
  <c r="M74" i="37" s="1"/>
  <c r="AC74" i="37" s="1"/>
  <c r="N24" i="11"/>
  <c r="M72" i="37" s="1"/>
  <c r="N23" i="11"/>
  <c r="N12" i="11"/>
  <c r="N11" i="11"/>
  <c r="N10" i="11"/>
  <c r="AO18" i="37" l="1"/>
  <c r="J18" i="37"/>
  <c r="I18" i="37" s="1"/>
  <c r="J17" i="37"/>
  <c r="AO17" i="37"/>
  <c r="AO16" i="37"/>
  <c r="J16" i="37"/>
  <c r="AC72" i="37"/>
  <c r="J72" i="37"/>
  <c r="AC77" i="37"/>
  <c r="J77" i="37"/>
  <c r="I33" i="37"/>
  <c r="F33" i="37"/>
  <c r="M44" i="37"/>
  <c r="M71" i="37"/>
  <c r="M13" i="37"/>
  <c r="AC43" i="37"/>
  <c r="J43" i="37"/>
  <c r="AC35" i="37"/>
  <c r="J35" i="37"/>
  <c r="AC70" i="37"/>
  <c r="J70" i="37"/>
  <c r="I97" i="37"/>
  <c r="F97" i="37"/>
  <c r="I34" i="37"/>
  <c r="F34" i="37"/>
  <c r="M50" i="37"/>
  <c r="F18" i="37"/>
  <c r="I100" i="37"/>
  <c r="F100" i="37"/>
  <c r="J9" i="2"/>
  <c r="L9" i="2"/>
  <c r="N17" i="11"/>
  <c r="N16" i="11"/>
  <c r="N32" i="11"/>
  <c r="O10" i="2" s="1"/>
  <c r="K10" i="2" s="1"/>
  <c r="N36" i="11"/>
  <c r="O13" i="2" s="1"/>
  <c r="K13" i="2" s="1"/>
  <c r="I13" i="2" s="1"/>
  <c r="N37" i="11"/>
  <c r="O27" i="2" s="1"/>
  <c r="K27" i="2" s="1"/>
  <c r="I27" i="2" s="1"/>
  <c r="N33" i="11"/>
  <c r="O11" i="2" s="1"/>
  <c r="K11" i="2" s="1"/>
  <c r="I11" i="2" s="1"/>
  <c r="N34" i="11"/>
  <c r="O5" i="2" s="1"/>
  <c r="K5" i="2" s="1"/>
  <c r="I5" i="2" s="1"/>
  <c r="N31" i="11"/>
  <c r="O12" i="2" s="1"/>
  <c r="K12" i="2" s="1"/>
  <c r="I12" i="2" s="1"/>
  <c r="N35" i="11"/>
  <c r="O15" i="2" s="1"/>
  <c r="K15" i="2" s="1"/>
  <c r="I15" i="2" s="1"/>
  <c r="F17" i="37" l="1"/>
  <c r="I17" i="37"/>
  <c r="I16" i="37"/>
  <c r="F16" i="37"/>
  <c r="I77" i="37"/>
  <c r="F77" i="37"/>
  <c r="I70" i="37"/>
  <c r="F70" i="37"/>
  <c r="F43" i="37"/>
  <c r="I43" i="37"/>
  <c r="AC71" i="37"/>
  <c r="J71" i="37"/>
  <c r="M52" i="37"/>
  <c r="AC50" i="37"/>
  <c r="J50" i="37"/>
  <c r="I35" i="37"/>
  <c r="F35" i="37"/>
  <c r="AC13" i="37"/>
  <c r="J13" i="37"/>
  <c r="AC44" i="37"/>
  <c r="J44" i="37"/>
  <c r="I24" i="37"/>
  <c r="F24" i="37"/>
  <c r="I38" i="37"/>
  <c r="F38" i="37"/>
  <c r="I211" i="37"/>
  <c r="F211" i="37"/>
  <c r="I79" i="37"/>
  <c r="F79" i="37"/>
  <c r="I109" i="37"/>
  <c r="F109" i="37"/>
  <c r="I99" i="37"/>
  <c r="F99" i="37"/>
  <c r="I198" i="37"/>
  <c r="F198" i="37"/>
  <c r="I10" i="2"/>
  <c r="I28" i="2" s="1"/>
  <c r="L10" i="2"/>
  <c r="J11" i="2"/>
  <c r="L11" i="2"/>
  <c r="L13" i="2"/>
  <c r="J13" i="2"/>
  <c r="J15" i="2"/>
  <c r="L15" i="2"/>
  <c r="J10" i="2"/>
  <c r="J27" i="2"/>
  <c r="L27" i="2"/>
  <c r="J12" i="2"/>
  <c r="L12" i="2"/>
  <c r="L5" i="2"/>
  <c r="J5" i="2"/>
  <c r="K28" i="2"/>
  <c r="E16" i="11"/>
  <c r="E7" i="11"/>
  <c r="F7" i="11"/>
  <c r="H9" i="12"/>
  <c r="N7" i="12" s="1"/>
  <c r="K76" i="37" s="1"/>
  <c r="AA76" i="37" l="1"/>
  <c r="J76" i="37"/>
  <c r="I13" i="37"/>
  <c r="F13" i="37"/>
  <c r="F50" i="37"/>
  <c r="I50" i="37"/>
  <c r="F71" i="37"/>
  <c r="I71" i="37"/>
  <c r="AC52" i="37"/>
  <c r="J52" i="37"/>
  <c r="I44" i="37"/>
  <c r="F44" i="37"/>
  <c r="I55" i="37"/>
  <c r="F55" i="37"/>
  <c r="N15" i="11"/>
  <c r="N14" i="11"/>
  <c r="G7" i="11"/>
  <c r="N6" i="11" s="1"/>
  <c r="N13" i="11"/>
  <c r="H8" i="12"/>
  <c r="N6" i="12" s="1"/>
  <c r="K74" i="37" s="1"/>
  <c r="AA74" i="37" l="1"/>
  <c r="J74" i="37"/>
  <c r="I76" i="37"/>
  <c r="F76" i="37"/>
  <c r="F52" i="37"/>
  <c r="I52" i="37"/>
  <c r="M118" i="37"/>
  <c r="M119" i="37"/>
  <c r="M61" i="37"/>
  <c r="N5" i="11"/>
  <c r="I74" i="37" l="1"/>
  <c r="F74" i="37"/>
  <c r="AC61" i="37"/>
  <c r="J61" i="37"/>
  <c r="M63" i="37"/>
  <c r="AC118" i="37"/>
  <c r="J118" i="37"/>
  <c r="AC119" i="37"/>
  <c r="J119" i="37"/>
  <c r="I209" i="37"/>
  <c r="F209" i="37"/>
  <c r="I146" i="37"/>
  <c r="F146" i="37"/>
  <c r="I136" i="37"/>
  <c r="F136" i="37"/>
  <c r="I162" i="37"/>
  <c r="F162" i="37"/>
  <c r="I72" i="37"/>
  <c r="F72" i="37"/>
  <c r="N4" i="11"/>
  <c r="M51" i="37" l="1"/>
  <c r="I119" i="37"/>
  <c r="F119" i="37"/>
  <c r="AC63" i="37"/>
  <c r="J63" i="37"/>
  <c r="F118" i="37"/>
  <c r="I118" i="37"/>
  <c r="I61" i="37"/>
  <c r="F61" i="37"/>
  <c r="I131" i="37"/>
  <c r="F131" i="37"/>
  <c r="J66" i="11"/>
  <c r="J67" i="11"/>
  <c r="I63" i="37" l="1"/>
  <c r="F63" i="37"/>
  <c r="AC51" i="37"/>
  <c r="J51" i="37"/>
  <c r="I150" i="37"/>
  <c r="F150" i="37"/>
  <c r="AC9" i="8"/>
  <c r="AC10" i="8"/>
  <c r="AC11" i="8"/>
  <c r="AC12" i="8"/>
  <c r="AC13" i="8"/>
  <c r="AC14" i="8"/>
  <c r="AC15" i="8"/>
  <c r="AC17" i="8"/>
  <c r="AC18" i="8"/>
  <c r="AC22" i="8"/>
  <c r="AC23" i="8"/>
  <c r="AC25" i="8"/>
  <c r="AC27" i="8"/>
  <c r="AC29" i="8"/>
  <c r="AC32" i="8"/>
  <c r="AC34" i="8"/>
  <c r="AC35" i="8"/>
  <c r="AC36" i="8"/>
  <c r="AC37" i="8"/>
  <c r="AC41" i="8"/>
  <c r="AC42" i="8"/>
  <c r="AC43" i="8"/>
  <c r="AC45" i="8"/>
  <c r="AC47" i="8"/>
  <c r="I51" i="37" l="1"/>
  <c r="C8" i="37" s="1"/>
  <c r="F51" i="37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CE9" i="8" l="1"/>
  <c r="CE10" i="8"/>
  <c r="CE11" i="8"/>
  <c r="CE12" i="8"/>
  <c r="CE13" i="8"/>
  <c r="CE14" i="8"/>
  <c r="CE15" i="8"/>
  <c r="CE17" i="8"/>
  <c r="CE18" i="8"/>
  <c r="CE22" i="8"/>
  <c r="CE23" i="8"/>
  <c r="CE25" i="8"/>
  <c r="CE27" i="8"/>
  <c r="CE29" i="8"/>
  <c r="CE32" i="8"/>
  <c r="CE34" i="8"/>
  <c r="CE35" i="8"/>
  <c r="CE36" i="8"/>
  <c r="CE37" i="8"/>
  <c r="CE41" i="8"/>
  <c r="CE42" i="8"/>
  <c r="CE43" i="8"/>
  <c r="CE45" i="8"/>
  <c r="CE47" i="8"/>
  <c r="AI9" i="8" l="1"/>
  <c r="AI10" i="8"/>
  <c r="AI11" i="8"/>
  <c r="AI12" i="8"/>
  <c r="AI13" i="8"/>
  <c r="AI14" i="8"/>
  <c r="AI15" i="8"/>
  <c r="AI17" i="8"/>
  <c r="AI18" i="8"/>
  <c r="AI22" i="8"/>
  <c r="AI23" i="8"/>
  <c r="AI25" i="8"/>
  <c r="AI27" i="8"/>
  <c r="AI29" i="8"/>
  <c r="AI32" i="8"/>
  <c r="AI34" i="8"/>
  <c r="AI35" i="8"/>
  <c r="AI36" i="8"/>
  <c r="AI37" i="8"/>
  <c r="AI41" i="8"/>
  <c r="AI42" i="8"/>
  <c r="AI43" i="8"/>
  <c r="AI45" i="8"/>
  <c r="AI47" i="8"/>
  <c r="BY9" i="8"/>
  <c r="BZ9" i="8"/>
  <c r="BY10" i="8"/>
  <c r="BZ10" i="8"/>
  <c r="BY11" i="8"/>
  <c r="BZ11" i="8"/>
  <c r="BY12" i="8"/>
  <c r="BZ12" i="8"/>
  <c r="BY13" i="8"/>
  <c r="BZ13" i="8"/>
  <c r="BY14" i="8"/>
  <c r="BZ14" i="8"/>
  <c r="BY15" i="8"/>
  <c r="BZ15" i="8"/>
  <c r="BY17" i="8"/>
  <c r="BZ17" i="8"/>
  <c r="BY18" i="8"/>
  <c r="BZ18" i="8"/>
  <c r="BY22" i="8"/>
  <c r="BZ22" i="8"/>
  <c r="BY23" i="8"/>
  <c r="BZ23" i="8"/>
  <c r="BY25" i="8"/>
  <c r="BZ25" i="8"/>
  <c r="BY27" i="8"/>
  <c r="BZ27" i="8"/>
  <c r="BY29" i="8"/>
  <c r="BZ29" i="8"/>
  <c r="BY32" i="8"/>
  <c r="BZ32" i="8"/>
  <c r="BY34" i="8"/>
  <c r="BZ34" i="8"/>
  <c r="BY35" i="8"/>
  <c r="BZ35" i="8"/>
  <c r="BY36" i="8"/>
  <c r="BZ36" i="8"/>
  <c r="BY37" i="8"/>
  <c r="BZ37" i="8"/>
  <c r="BY41" i="8"/>
  <c r="BZ41" i="8"/>
  <c r="BY42" i="8"/>
  <c r="BZ42" i="8"/>
  <c r="BY43" i="8"/>
  <c r="BZ43" i="8"/>
  <c r="BY45" i="8"/>
  <c r="BZ45" i="8"/>
  <c r="BY47" i="8"/>
  <c r="BZ47" i="8"/>
  <c r="AV9" i="8"/>
  <c r="AV10" i="8"/>
  <c r="AV11" i="8"/>
  <c r="AV12" i="8"/>
  <c r="AV13" i="8"/>
  <c r="AV14" i="8"/>
  <c r="AV15" i="8"/>
  <c r="AV17" i="8"/>
  <c r="AV18" i="8"/>
  <c r="AV22" i="8"/>
  <c r="AV23" i="8"/>
  <c r="AV25" i="8"/>
  <c r="AV27" i="8"/>
  <c r="AV29" i="8"/>
  <c r="AV32" i="8"/>
  <c r="AV34" i="8"/>
  <c r="AV35" i="8"/>
  <c r="AV36" i="8"/>
  <c r="AV37" i="8"/>
  <c r="AV41" i="8"/>
  <c r="AV42" i="8"/>
  <c r="AV43" i="8"/>
  <c r="AV45" i="8"/>
  <c r="AV47" i="8"/>
  <c r="G9" i="8" l="1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D9" i="8"/>
  <c r="AE9" i="8"/>
  <c r="AF9" i="8"/>
  <c r="AG9" i="8"/>
  <c r="AH9" i="8"/>
  <c r="AJ9" i="8"/>
  <c r="AK9" i="8"/>
  <c r="AL9" i="8"/>
  <c r="AM9" i="8"/>
  <c r="AN9" i="8"/>
  <c r="AO9" i="8"/>
  <c r="AP9" i="8"/>
  <c r="AQ9" i="8"/>
  <c r="AR9" i="8"/>
  <c r="AS9" i="8"/>
  <c r="AT9" i="8"/>
  <c r="AU9" i="8"/>
  <c r="AW9" i="8"/>
  <c r="AX9" i="8"/>
  <c r="AY9" i="8"/>
  <c r="AZ9" i="8"/>
  <c r="BA9" i="8"/>
  <c r="BB9" i="8"/>
  <c r="BC9" i="8"/>
  <c r="BD9" i="8"/>
  <c r="BE9" i="8"/>
  <c r="BF9" i="8"/>
  <c r="BT9" i="8"/>
  <c r="BU9" i="8"/>
  <c r="BV9" i="8"/>
  <c r="BW9" i="8"/>
  <c r="BX9" i="8"/>
  <c r="CA9" i="8"/>
  <c r="CB9" i="8"/>
  <c r="CC9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D10" i="8"/>
  <c r="AE10" i="8"/>
  <c r="AF10" i="8"/>
  <c r="AG10" i="8"/>
  <c r="AH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W10" i="8"/>
  <c r="AX10" i="8"/>
  <c r="AY10" i="8"/>
  <c r="AZ10" i="8"/>
  <c r="BA10" i="8"/>
  <c r="BB10" i="8"/>
  <c r="BC10" i="8"/>
  <c r="BD10" i="8"/>
  <c r="BE10" i="8"/>
  <c r="BF10" i="8"/>
  <c r="BT10" i="8"/>
  <c r="BU10" i="8"/>
  <c r="BV10" i="8"/>
  <c r="BW10" i="8"/>
  <c r="BX10" i="8"/>
  <c r="CA10" i="8"/>
  <c r="CB10" i="8"/>
  <c r="CC10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D11" i="8"/>
  <c r="AE11" i="8"/>
  <c r="AF11" i="8"/>
  <c r="AG11" i="8"/>
  <c r="AH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W11" i="8"/>
  <c r="AX11" i="8"/>
  <c r="AY11" i="8"/>
  <c r="AZ11" i="8"/>
  <c r="BA11" i="8"/>
  <c r="BB11" i="8"/>
  <c r="BC11" i="8"/>
  <c r="BD11" i="8"/>
  <c r="BE11" i="8"/>
  <c r="BF11" i="8"/>
  <c r="BT11" i="8"/>
  <c r="BU11" i="8"/>
  <c r="BV11" i="8"/>
  <c r="BW11" i="8"/>
  <c r="BX11" i="8"/>
  <c r="CA11" i="8"/>
  <c r="CB11" i="8"/>
  <c r="CC11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D12" i="8"/>
  <c r="AE12" i="8"/>
  <c r="AF12" i="8"/>
  <c r="AG12" i="8"/>
  <c r="AH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W12" i="8"/>
  <c r="AX12" i="8"/>
  <c r="AY12" i="8"/>
  <c r="AZ12" i="8"/>
  <c r="BA12" i="8"/>
  <c r="BB12" i="8"/>
  <c r="BC12" i="8"/>
  <c r="BD12" i="8"/>
  <c r="BE12" i="8"/>
  <c r="BF12" i="8"/>
  <c r="BT12" i="8"/>
  <c r="BU12" i="8"/>
  <c r="BV12" i="8"/>
  <c r="BW12" i="8"/>
  <c r="BX12" i="8"/>
  <c r="CA12" i="8"/>
  <c r="CB12" i="8"/>
  <c r="CC12" i="8"/>
  <c r="K13" i="8" l="1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D13" i="8"/>
  <c r="AE13" i="8"/>
  <c r="AF13" i="8"/>
  <c r="AG13" i="8"/>
  <c r="AH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W13" i="8"/>
  <c r="AX13" i="8"/>
  <c r="AY13" i="8"/>
  <c r="AZ13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D14" i="8"/>
  <c r="AE14" i="8"/>
  <c r="AF14" i="8"/>
  <c r="AG14" i="8"/>
  <c r="AH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W14" i="8"/>
  <c r="AX14" i="8"/>
  <c r="AY14" i="8"/>
  <c r="AZ14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D15" i="8"/>
  <c r="AE15" i="8"/>
  <c r="AF15" i="8"/>
  <c r="AG15" i="8"/>
  <c r="AH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W15" i="8"/>
  <c r="AX15" i="8"/>
  <c r="AY15" i="8"/>
  <c r="AZ15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D17" i="8"/>
  <c r="AE17" i="8"/>
  <c r="AF17" i="8"/>
  <c r="AG17" i="8"/>
  <c r="AH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W17" i="8"/>
  <c r="AX17" i="8"/>
  <c r="AY17" i="8"/>
  <c r="AZ17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D18" i="8"/>
  <c r="AE18" i="8"/>
  <c r="AF18" i="8"/>
  <c r="AG18" i="8"/>
  <c r="AH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W18" i="8"/>
  <c r="AX18" i="8"/>
  <c r="AY18" i="8"/>
  <c r="AZ18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D22" i="8"/>
  <c r="AE22" i="8"/>
  <c r="AF22" i="8"/>
  <c r="AG22" i="8"/>
  <c r="AH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W22" i="8"/>
  <c r="AX22" i="8"/>
  <c r="AY22" i="8"/>
  <c r="AZ22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D23" i="8"/>
  <c r="AE23" i="8"/>
  <c r="AF23" i="8"/>
  <c r="AG23" i="8"/>
  <c r="AH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W23" i="8"/>
  <c r="AX23" i="8"/>
  <c r="AY23" i="8"/>
  <c r="AZ23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D25" i="8"/>
  <c r="AE25" i="8"/>
  <c r="AF25" i="8"/>
  <c r="AG25" i="8"/>
  <c r="AH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W25" i="8"/>
  <c r="AX25" i="8"/>
  <c r="AY25" i="8"/>
  <c r="AZ25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D27" i="8"/>
  <c r="AE27" i="8"/>
  <c r="AF27" i="8"/>
  <c r="AG27" i="8"/>
  <c r="AH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W27" i="8"/>
  <c r="AX27" i="8"/>
  <c r="AY27" i="8"/>
  <c r="AZ27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D29" i="8"/>
  <c r="AE29" i="8"/>
  <c r="AF29" i="8"/>
  <c r="AG29" i="8"/>
  <c r="AH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W29" i="8"/>
  <c r="AX29" i="8"/>
  <c r="AY29" i="8"/>
  <c r="AZ29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D32" i="8"/>
  <c r="AE32" i="8"/>
  <c r="AF32" i="8"/>
  <c r="AG32" i="8"/>
  <c r="AH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W32" i="8"/>
  <c r="AX32" i="8"/>
  <c r="AY32" i="8"/>
  <c r="AZ32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D34" i="8"/>
  <c r="AE34" i="8"/>
  <c r="AF34" i="8"/>
  <c r="AG34" i="8"/>
  <c r="AH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W34" i="8"/>
  <c r="AX34" i="8"/>
  <c r="AY34" i="8"/>
  <c r="AZ34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D35" i="8"/>
  <c r="AE35" i="8"/>
  <c r="AF35" i="8"/>
  <c r="AG35" i="8"/>
  <c r="AH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W35" i="8"/>
  <c r="AX35" i="8"/>
  <c r="AY35" i="8"/>
  <c r="AZ35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D36" i="8"/>
  <c r="AE36" i="8"/>
  <c r="AF36" i="8"/>
  <c r="AG36" i="8"/>
  <c r="AH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W36" i="8"/>
  <c r="AX36" i="8"/>
  <c r="AY36" i="8"/>
  <c r="AZ36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D37" i="8"/>
  <c r="AE37" i="8"/>
  <c r="AF37" i="8"/>
  <c r="AG37" i="8"/>
  <c r="AH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W37" i="8"/>
  <c r="AX37" i="8"/>
  <c r="AY37" i="8"/>
  <c r="AZ37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D41" i="8"/>
  <c r="AE41" i="8"/>
  <c r="AF41" i="8"/>
  <c r="AG41" i="8"/>
  <c r="AH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W41" i="8"/>
  <c r="AX41" i="8"/>
  <c r="AY41" i="8"/>
  <c r="AZ41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D42" i="8"/>
  <c r="AE42" i="8"/>
  <c r="AF42" i="8"/>
  <c r="AG42" i="8"/>
  <c r="AH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W42" i="8"/>
  <c r="AX42" i="8"/>
  <c r="AY42" i="8"/>
  <c r="AZ42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D43" i="8"/>
  <c r="AE43" i="8"/>
  <c r="AF43" i="8"/>
  <c r="AG43" i="8"/>
  <c r="AH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W43" i="8"/>
  <c r="AX43" i="8"/>
  <c r="AY43" i="8"/>
  <c r="AZ43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D45" i="8"/>
  <c r="AE45" i="8"/>
  <c r="AF45" i="8"/>
  <c r="AG45" i="8"/>
  <c r="AH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W45" i="8"/>
  <c r="AX45" i="8"/>
  <c r="AY45" i="8"/>
  <c r="AZ45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D47" i="8"/>
  <c r="AE47" i="8"/>
  <c r="AF47" i="8"/>
  <c r="AG47" i="8"/>
  <c r="AH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W47" i="8"/>
  <c r="AX47" i="8"/>
  <c r="AY47" i="8"/>
  <c r="AZ47" i="8"/>
  <c r="EI7" i="8" l="1"/>
  <c r="EI5" i="8"/>
  <c r="EI4" i="8"/>
  <c r="CS9" i="8"/>
  <c r="CT9" i="8"/>
  <c r="CU9" i="8"/>
  <c r="CV9" i="8"/>
  <c r="CW9" i="8"/>
  <c r="CX9" i="8"/>
  <c r="CY9" i="8"/>
  <c r="CZ9" i="8"/>
  <c r="DA9" i="8"/>
  <c r="DB9" i="8"/>
  <c r="DC9" i="8"/>
  <c r="DD9" i="8"/>
  <c r="DE9" i="8"/>
  <c r="DF9" i="8"/>
  <c r="DG9" i="8"/>
  <c r="CS10" i="8"/>
  <c r="CT10" i="8"/>
  <c r="CU10" i="8"/>
  <c r="CV10" i="8"/>
  <c r="CW10" i="8"/>
  <c r="CX10" i="8"/>
  <c r="CY10" i="8"/>
  <c r="CZ10" i="8"/>
  <c r="DA10" i="8"/>
  <c r="DB10" i="8"/>
  <c r="DC10" i="8"/>
  <c r="DD10" i="8"/>
  <c r="DE10" i="8"/>
  <c r="DF10" i="8"/>
  <c r="DG10" i="8"/>
  <c r="CS11" i="8"/>
  <c r="CT11" i="8"/>
  <c r="CU11" i="8"/>
  <c r="CV11" i="8"/>
  <c r="CW11" i="8"/>
  <c r="CX11" i="8"/>
  <c r="CY11" i="8"/>
  <c r="CZ11" i="8"/>
  <c r="DA11" i="8"/>
  <c r="DB11" i="8"/>
  <c r="DC11" i="8"/>
  <c r="DD11" i="8"/>
  <c r="DE11" i="8"/>
  <c r="DF11" i="8"/>
  <c r="DG11" i="8"/>
  <c r="CS12" i="8"/>
  <c r="CT12" i="8"/>
  <c r="CU12" i="8"/>
  <c r="CV12" i="8"/>
  <c r="CW12" i="8"/>
  <c r="CX12" i="8"/>
  <c r="CY12" i="8"/>
  <c r="CZ12" i="8"/>
  <c r="DA12" i="8"/>
  <c r="DB12" i="8"/>
  <c r="DC12" i="8"/>
  <c r="DD12" i="8"/>
  <c r="DE12" i="8"/>
  <c r="DF12" i="8"/>
  <c r="DG12" i="8"/>
  <c r="CS13" i="8"/>
  <c r="CT13" i="8"/>
  <c r="CU13" i="8"/>
  <c r="CV13" i="8"/>
  <c r="CW13" i="8"/>
  <c r="CX13" i="8"/>
  <c r="CY13" i="8"/>
  <c r="CZ13" i="8"/>
  <c r="DA13" i="8"/>
  <c r="DB13" i="8"/>
  <c r="DC13" i="8"/>
  <c r="DD13" i="8"/>
  <c r="DE13" i="8"/>
  <c r="DF13" i="8"/>
  <c r="DG13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CS17" i="8"/>
  <c r="CT17" i="8"/>
  <c r="CU17" i="8"/>
  <c r="CV17" i="8"/>
  <c r="CW17" i="8"/>
  <c r="CX17" i="8"/>
  <c r="CY17" i="8"/>
  <c r="CZ17" i="8"/>
  <c r="DA17" i="8"/>
  <c r="DB17" i="8"/>
  <c r="DC17" i="8"/>
  <c r="DD17" i="8"/>
  <c r="DE17" i="8"/>
  <c r="DF17" i="8"/>
  <c r="DG17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CS23" i="8"/>
  <c r="CT23" i="8"/>
  <c r="CU23" i="8"/>
  <c r="CV23" i="8"/>
  <c r="CW23" i="8"/>
  <c r="CX23" i="8"/>
  <c r="CY23" i="8"/>
  <c r="CZ23" i="8"/>
  <c r="DA23" i="8"/>
  <c r="DB23" i="8"/>
  <c r="DC23" i="8"/>
  <c r="DD23" i="8"/>
  <c r="DE23" i="8"/>
  <c r="DF23" i="8"/>
  <c r="DG23" i="8"/>
  <c r="CS25" i="8"/>
  <c r="CT25" i="8"/>
  <c r="CU25" i="8"/>
  <c r="CV25" i="8"/>
  <c r="CW25" i="8"/>
  <c r="CX25" i="8"/>
  <c r="CY25" i="8"/>
  <c r="CZ25" i="8"/>
  <c r="DA25" i="8"/>
  <c r="DB25" i="8"/>
  <c r="DC25" i="8"/>
  <c r="DD25" i="8"/>
  <c r="DE25" i="8"/>
  <c r="DF25" i="8"/>
  <c r="DG25" i="8"/>
  <c r="CS27" i="8"/>
  <c r="CT27" i="8"/>
  <c r="CU27" i="8"/>
  <c r="CV27" i="8"/>
  <c r="CW27" i="8"/>
  <c r="CX27" i="8"/>
  <c r="CY27" i="8"/>
  <c r="CZ27" i="8"/>
  <c r="DA27" i="8"/>
  <c r="DB27" i="8"/>
  <c r="DC27" i="8"/>
  <c r="DD27" i="8"/>
  <c r="DE27" i="8"/>
  <c r="DF27" i="8"/>
  <c r="DG27" i="8"/>
  <c r="CS29" i="8"/>
  <c r="CT29" i="8"/>
  <c r="CU29" i="8"/>
  <c r="CV29" i="8"/>
  <c r="CW29" i="8"/>
  <c r="CX29" i="8"/>
  <c r="CY29" i="8"/>
  <c r="CZ29" i="8"/>
  <c r="DA29" i="8"/>
  <c r="DB29" i="8"/>
  <c r="DC29" i="8"/>
  <c r="DD29" i="8"/>
  <c r="DE29" i="8"/>
  <c r="DF29" i="8"/>
  <c r="DG29" i="8"/>
  <c r="CS32" i="8"/>
  <c r="CT32" i="8"/>
  <c r="CU32" i="8"/>
  <c r="CV32" i="8"/>
  <c r="CW32" i="8"/>
  <c r="CX32" i="8"/>
  <c r="CY32" i="8"/>
  <c r="CZ32" i="8"/>
  <c r="DA32" i="8"/>
  <c r="DB32" i="8"/>
  <c r="DC32" i="8"/>
  <c r="DD32" i="8"/>
  <c r="DE32" i="8"/>
  <c r="DF32" i="8"/>
  <c r="DG32" i="8"/>
  <c r="CS34" i="8"/>
  <c r="CT34" i="8"/>
  <c r="CU34" i="8"/>
  <c r="CV34" i="8"/>
  <c r="CW34" i="8"/>
  <c r="CX34" i="8"/>
  <c r="CY34" i="8"/>
  <c r="CZ34" i="8"/>
  <c r="DA34" i="8"/>
  <c r="DB34" i="8"/>
  <c r="DC34" i="8"/>
  <c r="DD34" i="8"/>
  <c r="DE34" i="8"/>
  <c r="DF34" i="8"/>
  <c r="DG34" i="8"/>
  <c r="CS35" i="8"/>
  <c r="CT35" i="8"/>
  <c r="CU35" i="8"/>
  <c r="CV35" i="8"/>
  <c r="CW35" i="8"/>
  <c r="CX35" i="8"/>
  <c r="CY35" i="8"/>
  <c r="CZ35" i="8"/>
  <c r="DA35" i="8"/>
  <c r="DB35" i="8"/>
  <c r="DC35" i="8"/>
  <c r="DD35" i="8"/>
  <c r="DE35" i="8"/>
  <c r="DF35" i="8"/>
  <c r="DG35" i="8"/>
  <c r="CS36" i="8"/>
  <c r="CT36" i="8"/>
  <c r="CU36" i="8"/>
  <c r="CV36" i="8"/>
  <c r="CW36" i="8"/>
  <c r="CX36" i="8"/>
  <c r="CY36" i="8"/>
  <c r="CZ36" i="8"/>
  <c r="DA36" i="8"/>
  <c r="DB36" i="8"/>
  <c r="DC36" i="8"/>
  <c r="DD36" i="8"/>
  <c r="DE36" i="8"/>
  <c r="DF36" i="8"/>
  <c r="DG36" i="8"/>
  <c r="CS37" i="8"/>
  <c r="CT37" i="8"/>
  <c r="CU37" i="8"/>
  <c r="CV37" i="8"/>
  <c r="CW37" i="8"/>
  <c r="CX37" i="8"/>
  <c r="CY37" i="8"/>
  <c r="CZ37" i="8"/>
  <c r="DA37" i="8"/>
  <c r="DB37" i="8"/>
  <c r="DC37" i="8"/>
  <c r="DD37" i="8"/>
  <c r="DE37" i="8"/>
  <c r="DF37" i="8"/>
  <c r="DG37" i="8"/>
  <c r="CS41" i="8"/>
  <c r="CT41" i="8"/>
  <c r="CU41" i="8"/>
  <c r="CV41" i="8"/>
  <c r="CW41" i="8"/>
  <c r="CX41" i="8"/>
  <c r="CY41" i="8"/>
  <c r="CZ41" i="8"/>
  <c r="DA41" i="8"/>
  <c r="DB41" i="8"/>
  <c r="DC41" i="8"/>
  <c r="DD41" i="8"/>
  <c r="DE41" i="8"/>
  <c r="DF41" i="8"/>
  <c r="DG41" i="8"/>
  <c r="CS42" i="8"/>
  <c r="CT42" i="8"/>
  <c r="CU42" i="8"/>
  <c r="CV42" i="8"/>
  <c r="CW42" i="8"/>
  <c r="CX42" i="8"/>
  <c r="CY42" i="8"/>
  <c r="CZ42" i="8"/>
  <c r="DA42" i="8"/>
  <c r="DB42" i="8"/>
  <c r="DC42" i="8"/>
  <c r="DD42" i="8"/>
  <c r="DE42" i="8"/>
  <c r="DF42" i="8"/>
  <c r="DG42" i="8"/>
  <c r="CS43" i="8"/>
  <c r="CT43" i="8"/>
  <c r="CU43" i="8"/>
  <c r="CV43" i="8"/>
  <c r="CW43" i="8"/>
  <c r="CX43" i="8"/>
  <c r="CY43" i="8"/>
  <c r="CZ43" i="8"/>
  <c r="DA43" i="8"/>
  <c r="DB43" i="8"/>
  <c r="DC43" i="8"/>
  <c r="DD43" i="8"/>
  <c r="DE43" i="8"/>
  <c r="DF43" i="8"/>
  <c r="DG43" i="8"/>
  <c r="CS45" i="8"/>
  <c r="CT45" i="8"/>
  <c r="CU45" i="8"/>
  <c r="CV45" i="8"/>
  <c r="CW45" i="8"/>
  <c r="CX45" i="8"/>
  <c r="CY45" i="8"/>
  <c r="CZ45" i="8"/>
  <c r="DA45" i="8"/>
  <c r="DB45" i="8"/>
  <c r="DC45" i="8"/>
  <c r="DD45" i="8"/>
  <c r="DE45" i="8"/>
  <c r="DF45" i="8"/>
  <c r="DG45" i="8"/>
  <c r="CS47" i="8"/>
  <c r="CT47" i="8"/>
  <c r="CU47" i="8"/>
  <c r="CV47" i="8"/>
  <c r="CW47" i="8"/>
  <c r="CX47" i="8"/>
  <c r="CY47" i="8"/>
  <c r="CZ47" i="8"/>
  <c r="DA47" i="8"/>
  <c r="DB47" i="8"/>
  <c r="DC47" i="8"/>
  <c r="DD47" i="8"/>
  <c r="DE47" i="8"/>
  <c r="DF47" i="8"/>
  <c r="DG47" i="8"/>
  <c r="EC32" i="8"/>
  <c r="CD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DH9" i="8"/>
  <c r="DI9" i="8"/>
  <c r="DJ9" i="8"/>
  <c r="DK9" i="8"/>
  <c r="DL9" i="8"/>
  <c r="DM9" i="8"/>
  <c r="DN9" i="8"/>
  <c r="DO9" i="8"/>
  <c r="DP9" i="8"/>
  <c r="DQ9" i="8"/>
  <c r="DR9" i="8"/>
  <c r="DS9" i="8"/>
  <c r="DT9" i="8"/>
  <c r="DU9" i="8"/>
  <c r="DV9" i="8"/>
  <c r="DW9" i="8"/>
  <c r="DX9" i="8"/>
  <c r="DY9" i="8"/>
  <c r="DZ9" i="8"/>
  <c r="EA9" i="8"/>
  <c r="EC9" i="8"/>
  <c r="ED9" i="8"/>
  <c r="EE9" i="8"/>
  <c r="EF9" i="8"/>
  <c r="EG9" i="8"/>
  <c r="EH9" i="8"/>
  <c r="CD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DH10" i="8"/>
  <c r="DI10" i="8"/>
  <c r="DJ10" i="8"/>
  <c r="DK10" i="8"/>
  <c r="DL10" i="8"/>
  <c r="DM10" i="8"/>
  <c r="DN10" i="8"/>
  <c r="DO10" i="8"/>
  <c r="DP10" i="8"/>
  <c r="DQ10" i="8"/>
  <c r="DR10" i="8"/>
  <c r="DS10" i="8"/>
  <c r="DT10" i="8"/>
  <c r="DU10" i="8"/>
  <c r="DV10" i="8"/>
  <c r="DW10" i="8"/>
  <c r="DX10" i="8"/>
  <c r="DY10" i="8"/>
  <c r="DZ10" i="8"/>
  <c r="EA10" i="8"/>
  <c r="EC10" i="8"/>
  <c r="ED10" i="8"/>
  <c r="EE10" i="8"/>
  <c r="EF10" i="8"/>
  <c r="EG10" i="8"/>
  <c r="EH10" i="8"/>
  <c r="CD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DH11" i="8"/>
  <c r="DI11" i="8"/>
  <c r="DJ11" i="8"/>
  <c r="DK11" i="8"/>
  <c r="DL11" i="8"/>
  <c r="DM11" i="8"/>
  <c r="DN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A11" i="8"/>
  <c r="EC11" i="8"/>
  <c r="ED11" i="8"/>
  <c r="EE11" i="8"/>
  <c r="EF11" i="8"/>
  <c r="EG11" i="8"/>
  <c r="EH11" i="8"/>
  <c r="CD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A12" i="8"/>
  <c r="EC12" i="8"/>
  <c r="ED12" i="8"/>
  <c r="EE12" i="8"/>
  <c r="EF12" i="8"/>
  <c r="EG12" i="8"/>
  <c r="EH12" i="8"/>
  <c r="G13" i="8"/>
  <c r="H13" i="8"/>
  <c r="I13" i="8"/>
  <c r="J13" i="8"/>
  <c r="BA13" i="8"/>
  <c r="BB13" i="8"/>
  <c r="BC13" i="8"/>
  <c r="BD13" i="8"/>
  <c r="BE13" i="8"/>
  <c r="BF13" i="8"/>
  <c r="BT13" i="8"/>
  <c r="BU13" i="8"/>
  <c r="BV13" i="8"/>
  <c r="BW13" i="8"/>
  <c r="BX13" i="8"/>
  <c r="CA13" i="8"/>
  <c r="CB13" i="8"/>
  <c r="CC13" i="8"/>
  <c r="CD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DH13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U13" i="8"/>
  <c r="DV13" i="8"/>
  <c r="DW13" i="8"/>
  <c r="DX13" i="8"/>
  <c r="DY13" i="8"/>
  <c r="DZ13" i="8"/>
  <c r="EA13" i="8"/>
  <c r="EC13" i="8"/>
  <c r="ED13" i="8"/>
  <c r="EE13" i="8"/>
  <c r="EF13" i="8"/>
  <c r="EG13" i="8"/>
  <c r="EH13" i="8"/>
  <c r="G14" i="8"/>
  <c r="H14" i="8"/>
  <c r="I14" i="8"/>
  <c r="J14" i="8"/>
  <c r="BA14" i="8"/>
  <c r="BB14" i="8"/>
  <c r="BC14" i="8"/>
  <c r="BD14" i="8"/>
  <c r="BE14" i="8"/>
  <c r="BF14" i="8"/>
  <c r="BT14" i="8"/>
  <c r="BU14" i="8"/>
  <c r="BV14" i="8"/>
  <c r="BW14" i="8"/>
  <c r="BX14" i="8"/>
  <c r="CA14" i="8"/>
  <c r="CB14" i="8"/>
  <c r="CC14" i="8"/>
  <c r="CD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C14" i="8"/>
  <c r="ED14" i="8"/>
  <c r="EE14" i="8"/>
  <c r="EF14" i="8"/>
  <c r="EG14" i="8"/>
  <c r="EH14" i="8"/>
  <c r="G15" i="8"/>
  <c r="H15" i="8"/>
  <c r="I15" i="8"/>
  <c r="J15" i="8"/>
  <c r="BA15" i="8"/>
  <c r="BB15" i="8"/>
  <c r="BC15" i="8"/>
  <c r="BD15" i="8"/>
  <c r="BE15" i="8"/>
  <c r="BF15" i="8"/>
  <c r="BT15" i="8"/>
  <c r="BU15" i="8"/>
  <c r="BV15" i="8"/>
  <c r="BW15" i="8"/>
  <c r="BX15" i="8"/>
  <c r="CA15" i="8"/>
  <c r="CB15" i="8"/>
  <c r="CC15" i="8"/>
  <c r="CD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C15" i="8"/>
  <c r="ED15" i="8"/>
  <c r="EE15" i="8"/>
  <c r="EF15" i="8"/>
  <c r="EG15" i="8"/>
  <c r="EH15" i="8"/>
  <c r="G17" i="8"/>
  <c r="H17" i="8"/>
  <c r="I17" i="8"/>
  <c r="J17" i="8"/>
  <c r="BA17" i="8"/>
  <c r="BB17" i="8"/>
  <c r="BC17" i="8"/>
  <c r="BD17" i="8"/>
  <c r="BE17" i="8"/>
  <c r="BF17" i="8"/>
  <c r="BT17" i="8"/>
  <c r="BU17" i="8"/>
  <c r="BV17" i="8"/>
  <c r="BW17" i="8"/>
  <c r="BX17" i="8"/>
  <c r="CA17" i="8"/>
  <c r="CB17" i="8"/>
  <c r="CC17" i="8"/>
  <c r="CD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DH17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U17" i="8"/>
  <c r="DV17" i="8"/>
  <c r="DW17" i="8"/>
  <c r="DX17" i="8"/>
  <c r="DY17" i="8"/>
  <c r="DZ17" i="8"/>
  <c r="EA17" i="8"/>
  <c r="EC17" i="8"/>
  <c r="ED17" i="8"/>
  <c r="EE17" i="8"/>
  <c r="EF17" i="8"/>
  <c r="EG17" i="8"/>
  <c r="EH17" i="8"/>
  <c r="G18" i="8"/>
  <c r="H18" i="8"/>
  <c r="I18" i="8"/>
  <c r="J18" i="8"/>
  <c r="BA18" i="8"/>
  <c r="BB18" i="8"/>
  <c r="BC18" i="8"/>
  <c r="BD18" i="8"/>
  <c r="BE18" i="8"/>
  <c r="BF18" i="8"/>
  <c r="BT18" i="8"/>
  <c r="BU18" i="8"/>
  <c r="BV18" i="8"/>
  <c r="BW18" i="8"/>
  <c r="BX18" i="8"/>
  <c r="CA18" i="8"/>
  <c r="CB18" i="8"/>
  <c r="CC18" i="8"/>
  <c r="CD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C18" i="8"/>
  <c r="ED18" i="8"/>
  <c r="EE18" i="8"/>
  <c r="EF18" i="8"/>
  <c r="EG18" i="8"/>
  <c r="EH18" i="8"/>
  <c r="G22" i="8"/>
  <c r="H22" i="8"/>
  <c r="I22" i="8"/>
  <c r="J22" i="8"/>
  <c r="BA22" i="8"/>
  <c r="BB22" i="8"/>
  <c r="BC22" i="8"/>
  <c r="BD22" i="8"/>
  <c r="BE22" i="8"/>
  <c r="BF22" i="8"/>
  <c r="BT22" i="8"/>
  <c r="BU22" i="8"/>
  <c r="BV22" i="8"/>
  <c r="BW22" i="8"/>
  <c r="BX22" i="8"/>
  <c r="CA22" i="8"/>
  <c r="CB22" i="8"/>
  <c r="CC22" i="8"/>
  <c r="CD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C22" i="8"/>
  <c r="ED22" i="8"/>
  <c r="EE22" i="8"/>
  <c r="EF22" i="8"/>
  <c r="EG22" i="8"/>
  <c r="EH22" i="8"/>
  <c r="G23" i="8"/>
  <c r="H23" i="8"/>
  <c r="I23" i="8"/>
  <c r="J23" i="8"/>
  <c r="BA23" i="8"/>
  <c r="BB23" i="8"/>
  <c r="BC23" i="8"/>
  <c r="BD23" i="8"/>
  <c r="BE23" i="8"/>
  <c r="BF23" i="8"/>
  <c r="BT23" i="8"/>
  <c r="BU23" i="8"/>
  <c r="BV23" i="8"/>
  <c r="BW23" i="8"/>
  <c r="BX23" i="8"/>
  <c r="CA23" i="8"/>
  <c r="CB23" i="8"/>
  <c r="CC23" i="8"/>
  <c r="CD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DH23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C23" i="8"/>
  <c r="ED23" i="8"/>
  <c r="EE23" i="8"/>
  <c r="EF23" i="8"/>
  <c r="EG23" i="8"/>
  <c r="EH23" i="8"/>
  <c r="G25" i="8"/>
  <c r="H25" i="8"/>
  <c r="I25" i="8"/>
  <c r="J25" i="8"/>
  <c r="BA25" i="8"/>
  <c r="BB25" i="8"/>
  <c r="BC25" i="8"/>
  <c r="BD25" i="8"/>
  <c r="BE25" i="8"/>
  <c r="BF25" i="8"/>
  <c r="BT25" i="8"/>
  <c r="BU25" i="8"/>
  <c r="BV25" i="8"/>
  <c r="BW25" i="8"/>
  <c r="BX25" i="8"/>
  <c r="CA25" i="8"/>
  <c r="CB25" i="8"/>
  <c r="CC25" i="8"/>
  <c r="CD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DH25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U25" i="8"/>
  <c r="DV25" i="8"/>
  <c r="DW25" i="8"/>
  <c r="DX25" i="8"/>
  <c r="DY25" i="8"/>
  <c r="DZ25" i="8"/>
  <c r="EA25" i="8"/>
  <c r="EC25" i="8"/>
  <c r="ED25" i="8"/>
  <c r="EE25" i="8"/>
  <c r="EF25" i="8"/>
  <c r="EG25" i="8"/>
  <c r="EH25" i="8"/>
  <c r="G27" i="8"/>
  <c r="H27" i="8"/>
  <c r="I27" i="8"/>
  <c r="J27" i="8"/>
  <c r="BA27" i="8"/>
  <c r="BB27" i="8"/>
  <c r="BC27" i="8"/>
  <c r="BD27" i="8"/>
  <c r="BE27" i="8"/>
  <c r="BF27" i="8"/>
  <c r="BT27" i="8"/>
  <c r="BU27" i="8"/>
  <c r="BV27" i="8"/>
  <c r="BW27" i="8"/>
  <c r="BX27" i="8"/>
  <c r="CA27" i="8"/>
  <c r="CB27" i="8"/>
  <c r="CC27" i="8"/>
  <c r="CD27" i="8"/>
  <c r="CF27" i="8"/>
  <c r="CG27" i="8"/>
  <c r="CH27" i="8"/>
  <c r="CI27" i="8"/>
  <c r="CJ27" i="8"/>
  <c r="CK27" i="8"/>
  <c r="CL27" i="8"/>
  <c r="CM27" i="8"/>
  <c r="CN27" i="8"/>
  <c r="CO27" i="8"/>
  <c r="CP27" i="8"/>
  <c r="CQ27" i="8"/>
  <c r="CR27" i="8"/>
  <c r="DH27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U27" i="8"/>
  <c r="DV27" i="8"/>
  <c r="DW27" i="8"/>
  <c r="DX27" i="8"/>
  <c r="DY27" i="8"/>
  <c r="DZ27" i="8"/>
  <c r="EA27" i="8"/>
  <c r="EC27" i="8"/>
  <c r="ED27" i="8"/>
  <c r="EE27" i="8"/>
  <c r="EF27" i="8"/>
  <c r="EG27" i="8"/>
  <c r="EH27" i="8"/>
  <c r="G29" i="8"/>
  <c r="H29" i="8"/>
  <c r="I29" i="8"/>
  <c r="J29" i="8"/>
  <c r="BA29" i="8"/>
  <c r="BB29" i="8"/>
  <c r="BC29" i="8"/>
  <c r="BD29" i="8"/>
  <c r="BE29" i="8"/>
  <c r="BF29" i="8"/>
  <c r="BT29" i="8"/>
  <c r="BU29" i="8"/>
  <c r="BV29" i="8"/>
  <c r="BW29" i="8"/>
  <c r="BX29" i="8"/>
  <c r="CA29" i="8"/>
  <c r="CB29" i="8"/>
  <c r="CC29" i="8"/>
  <c r="CD29" i="8"/>
  <c r="CF29" i="8"/>
  <c r="CG29" i="8"/>
  <c r="CH29" i="8"/>
  <c r="CI29" i="8"/>
  <c r="CJ29" i="8"/>
  <c r="CK29" i="8"/>
  <c r="CL29" i="8"/>
  <c r="CM29" i="8"/>
  <c r="CN29" i="8"/>
  <c r="CO29" i="8"/>
  <c r="CP29" i="8"/>
  <c r="CQ29" i="8"/>
  <c r="CR29" i="8"/>
  <c r="DH29" i="8"/>
  <c r="DI29" i="8"/>
  <c r="DJ29" i="8"/>
  <c r="DK29" i="8"/>
  <c r="DL29" i="8"/>
  <c r="DM29" i="8"/>
  <c r="DN29" i="8"/>
  <c r="DO29" i="8"/>
  <c r="DP29" i="8"/>
  <c r="DQ29" i="8"/>
  <c r="DR29" i="8"/>
  <c r="DS29" i="8"/>
  <c r="DT29" i="8"/>
  <c r="DU29" i="8"/>
  <c r="DV29" i="8"/>
  <c r="DW29" i="8"/>
  <c r="DX29" i="8"/>
  <c r="DY29" i="8"/>
  <c r="DZ29" i="8"/>
  <c r="EA29" i="8"/>
  <c r="EC29" i="8"/>
  <c r="ED29" i="8"/>
  <c r="EE29" i="8"/>
  <c r="EF29" i="8"/>
  <c r="EG29" i="8"/>
  <c r="EH29" i="8"/>
  <c r="G32" i="8"/>
  <c r="H32" i="8"/>
  <c r="I32" i="8"/>
  <c r="J32" i="8"/>
  <c r="BA32" i="8"/>
  <c r="BB32" i="8"/>
  <c r="BC32" i="8"/>
  <c r="BD32" i="8"/>
  <c r="BE32" i="8"/>
  <c r="BF32" i="8"/>
  <c r="BT32" i="8"/>
  <c r="BU32" i="8"/>
  <c r="BV32" i="8"/>
  <c r="BW32" i="8"/>
  <c r="BX32" i="8"/>
  <c r="CA32" i="8"/>
  <c r="CB32" i="8"/>
  <c r="CC32" i="8"/>
  <c r="CD32" i="8"/>
  <c r="CF32" i="8"/>
  <c r="CG32" i="8"/>
  <c r="CH32" i="8"/>
  <c r="CI32" i="8"/>
  <c r="CJ32" i="8"/>
  <c r="CK32" i="8"/>
  <c r="CL32" i="8"/>
  <c r="CM32" i="8"/>
  <c r="CN32" i="8"/>
  <c r="CO32" i="8"/>
  <c r="CP32" i="8"/>
  <c r="CQ32" i="8"/>
  <c r="CR32" i="8"/>
  <c r="DH32" i="8"/>
  <c r="DI32" i="8"/>
  <c r="DJ32" i="8"/>
  <c r="DK32" i="8"/>
  <c r="DL32" i="8"/>
  <c r="DM32" i="8"/>
  <c r="DN32" i="8"/>
  <c r="DO32" i="8"/>
  <c r="DP32" i="8"/>
  <c r="DQ32" i="8"/>
  <c r="DR32" i="8"/>
  <c r="DS32" i="8"/>
  <c r="DT32" i="8"/>
  <c r="DU32" i="8"/>
  <c r="DV32" i="8"/>
  <c r="DW32" i="8"/>
  <c r="DX32" i="8"/>
  <c r="DY32" i="8"/>
  <c r="DZ32" i="8"/>
  <c r="EA32" i="8"/>
  <c r="ED32" i="8"/>
  <c r="EE32" i="8"/>
  <c r="EF32" i="8"/>
  <c r="EG32" i="8"/>
  <c r="EH32" i="8"/>
  <c r="G34" i="8"/>
  <c r="H34" i="8"/>
  <c r="I34" i="8"/>
  <c r="J34" i="8"/>
  <c r="BA34" i="8"/>
  <c r="BB34" i="8"/>
  <c r="BC34" i="8"/>
  <c r="BD34" i="8"/>
  <c r="BE34" i="8"/>
  <c r="BF34" i="8"/>
  <c r="BT34" i="8"/>
  <c r="BU34" i="8"/>
  <c r="BV34" i="8"/>
  <c r="BW34" i="8"/>
  <c r="BX34" i="8"/>
  <c r="CA34" i="8"/>
  <c r="CB34" i="8"/>
  <c r="CC34" i="8"/>
  <c r="CD34" i="8"/>
  <c r="CF34" i="8"/>
  <c r="CG34" i="8"/>
  <c r="CH34" i="8"/>
  <c r="CI34" i="8"/>
  <c r="CJ34" i="8"/>
  <c r="CK34" i="8"/>
  <c r="CL34" i="8"/>
  <c r="CM34" i="8"/>
  <c r="CN34" i="8"/>
  <c r="CO34" i="8"/>
  <c r="CP34" i="8"/>
  <c r="CQ34" i="8"/>
  <c r="CR34" i="8"/>
  <c r="DH34" i="8"/>
  <c r="DI34" i="8"/>
  <c r="DJ34" i="8"/>
  <c r="DK34" i="8"/>
  <c r="DL34" i="8"/>
  <c r="DM34" i="8"/>
  <c r="DN34" i="8"/>
  <c r="DO34" i="8"/>
  <c r="DP34" i="8"/>
  <c r="DQ34" i="8"/>
  <c r="DR34" i="8"/>
  <c r="DS34" i="8"/>
  <c r="DT34" i="8"/>
  <c r="DU34" i="8"/>
  <c r="DV34" i="8"/>
  <c r="DW34" i="8"/>
  <c r="DX34" i="8"/>
  <c r="DY34" i="8"/>
  <c r="DZ34" i="8"/>
  <c r="EA34" i="8"/>
  <c r="EC34" i="8"/>
  <c r="ED34" i="8"/>
  <c r="EE34" i="8"/>
  <c r="EF34" i="8"/>
  <c r="EG34" i="8"/>
  <c r="EH34" i="8"/>
  <c r="G35" i="8"/>
  <c r="H35" i="8"/>
  <c r="I35" i="8"/>
  <c r="J35" i="8"/>
  <c r="BA35" i="8"/>
  <c r="BB35" i="8"/>
  <c r="BC35" i="8"/>
  <c r="BD35" i="8"/>
  <c r="BE35" i="8"/>
  <c r="BF35" i="8"/>
  <c r="BT35" i="8"/>
  <c r="BU35" i="8"/>
  <c r="BV35" i="8"/>
  <c r="BW35" i="8"/>
  <c r="BX35" i="8"/>
  <c r="CA35" i="8"/>
  <c r="CB35" i="8"/>
  <c r="CC35" i="8"/>
  <c r="CD35" i="8"/>
  <c r="CF35" i="8"/>
  <c r="CG35" i="8"/>
  <c r="CH35" i="8"/>
  <c r="CI35" i="8"/>
  <c r="CJ35" i="8"/>
  <c r="CK35" i="8"/>
  <c r="CL35" i="8"/>
  <c r="CM35" i="8"/>
  <c r="CN35" i="8"/>
  <c r="CO35" i="8"/>
  <c r="CP35" i="8"/>
  <c r="CQ35" i="8"/>
  <c r="CR35" i="8"/>
  <c r="DH35" i="8"/>
  <c r="DI35" i="8"/>
  <c r="DJ35" i="8"/>
  <c r="DK35" i="8"/>
  <c r="DL35" i="8"/>
  <c r="DM35" i="8"/>
  <c r="DN35" i="8"/>
  <c r="DO35" i="8"/>
  <c r="DP35" i="8"/>
  <c r="DQ35" i="8"/>
  <c r="DR35" i="8"/>
  <c r="DS35" i="8"/>
  <c r="DT35" i="8"/>
  <c r="DU35" i="8"/>
  <c r="DV35" i="8"/>
  <c r="DW35" i="8"/>
  <c r="DX35" i="8"/>
  <c r="DY35" i="8"/>
  <c r="DZ35" i="8"/>
  <c r="EA35" i="8"/>
  <c r="EC35" i="8"/>
  <c r="ED35" i="8"/>
  <c r="EE35" i="8"/>
  <c r="EF35" i="8"/>
  <c r="EG35" i="8"/>
  <c r="EH35" i="8"/>
  <c r="G36" i="8"/>
  <c r="H36" i="8"/>
  <c r="I36" i="8"/>
  <c r="J36" i="8"/>
  <c r="BA36" i="8"/>
  <c r="BB36" i="8"/>
  <c r="BC36" i="8"/>
  <c r="BD36" i="8"/>
  <c r="BE36" i="8"/>
  <c r="BF36" i="8"/>
  <c r="BT36" i="8"/>
  <c r="BU36" i="8"/>
  <c r="BV36" i="8"/>
  <c r="BW36" i="8"/>
  <c r="BX36" i="8"/>
  <c r="CA36" i="8"/>
  <c r="CB36" i="8"/>
  <c r="CC36" i="8"/>
  <c r="CD36" i="8"/>
  <c r="CF36" i="8"/>
  <c r="CG36" i="8"/>
  <c r="CH36" i="8"/>
  <c r="CI36" i="8"/>
  <c r="CJ36" i="8"/>
  <c r="CK36" i="8"/>
  <c r="CL36" i="8"/>
  <c r="CM36" i="8"/>
  <c r="CN36" i="8"/>
  <c r="CO36" i="8"/>
  <c r="CP36" i="8"/>
  <c r="CQ36" i="8"/>
  <c r="CR36" i="8"/>
  <c r="DH36" i="8"/>
  <c r="DI36" i="8"/>
  <c r="DJ36" i="8"/>
  <c r="DK36" i="8"/>
  <c r="DL36" i="8"/>
  <c r="DM36" i="8"/>
  <c r="DN36" i="8"/>
  <c r="DO36" i="8"/>
  <c r="DP36" i="8"/>
  <c r="DQ36" i="8"/>
  <c r="DR36" i="8"/>
  <c r="DS36" i="8"/>
  <c r="DT36" i="8"/>
  <c r="DU36" i="8"/>
  <c r="DV36" i="8"/>
  <c r="DW36" i="8"/>
  <c r="DX36" i="8"/>
  <c r="DY36" i="8"/>
  <c r="DZ36" i="8"/>
  <c r="EA36" i="8"/>
  <c r="EC36" i="8"/>
  <c r="ED36" i="8"/>
  <c r="EE36" i="8"/>
  <c r="EF36" i="8"/>
  <c r="EG36" i="8"/>
  <c r="EH36" i="8"/>
  <c r="G37" i="8"/>
  <c r="H37" i="8"/>
  <c r="I37" i="8"/>
  <c r="J37" i="8"/>
  <c r="BA37" i="8"/>
  <c r="BB37" i="8"/>
  <c r="BC37" i="8"/>
  <c r="BD37" i="8"/>
  <c r="BE37" i="8"/>
  <c r="BF37" i="8"/>
  <c r="BT37" i="8"/>
  <c r="BU37" i="8"/>
  <c r="BV37" i="8"/>
  <c r="BW37" i="8"/>
  <c r="BX37" i="8"/>
  <c r="CA37" i="8"/>
  <c r="CB37" i="8"/>
  <c r="CC37" i="8"/>
  <c r="CD37" i="8"/>
  <c r="CF37" i="8"/>
  <c r="CG37" i="8"/>
  <c r="CH37" i="8"/>
  <c r="CI37" i="8"/>
  <c r="CJ37" i="8"/>
  <c r="CK37" i="8"/>
  <c r="CL37" i="8"/>
  <c r="CM37" i="8"/>
  <c r="CN37" i="8"/>
  <c r="CO37" i="8"/>
  <c r="CP37" i="8"/>
  <c r="CQ37" i="8"/>
  <c r="CR37" i="8"/>
  <c r="DH37" i="8"/>
  <c r="DI37" i="8"/>
  <c r="DJ37" i="8"/>
  <c r="DK37" i="8"/>
  <c r="DL37" i="8"/>
  <c r="DM37" i="8"/>
  <c r="DN37" i="8"/>
  <c r="DO37" i="8"/>
  <c r="DP37" i="8"/>
  <c r="DQ37" i="8"/>
  <c r="DR37" i="8"/>
  <c r="DS37" i="8"/>
  <c r="DT37" i="8"/>
  <c r="DU37" i="8"/>
  <c r="DV37" i="8"/>
  <c r="DW37" i="8"/>
  <c r="DX37" i="8"/>
  <c r="DY37" i="8"/>
  <c r="DZ37" i="8"/>
  <c r="EA37" i="8"/>
  <c r="EC37" i="8"/>
  <c r="ED37" i="8"/>
  <c r="EE37" i="8"/>
  <c r="EF37" i="8"/>
  <c r="EG37" i="8"/>
  <c r="EH37" i="8"/>
  <c r="G41" i="8"/>
  <c r="H41" i="8"/>
  <c r="I41" i="8"/>
  <c r="J41" i="8"/>
  <c r="BA41" i="8"/>
  <c r="BB41" i="8"/>
  <c r="BC41" i="8"/>
  <c r="BD41" i="8"/>
  <c r="BE41" i="8"/>
  <c r="BF41" i="8"/>
  <c r="BT41" i="8"/>
  <c r="BU41" i="8"/>
  <c r="BV41" i="8"/>
  <c r="BW41" i="8"/>
  <c r="BX41" i="8"/>
  <c r="CA41" i="8"/>
  <c r="CB41" i="8"/>
  <c r="CC41" i="8"/>
  <c r="CD41" i="8"/>
  <c r="CF41" i="8"/>
  <c r="CG41" i="8"/>
  <c r="CH41" i="8"/>
  <c r="CI41" i="8"/>
  <c r="CJ41" i="8"/>
  <c r="CK41" i="8"/>
  <c r="CL41" i="8"/>
  <c r="CM41" i="8"/>
  <c r="CN41" i="8"/>
  <c r="CO41" i="8"/>
  <c r="CP41" i="8"/>
  <c r="CQ41" i="8"/>
  <c r="CR41" i="8"/>
  <c r="DH41" i="8"/>
  <c r="DI41" i="8"/>
  <c r="DJ41" i="8"/>
  <c r="DK41" i="8"/>
  <c r="DL41" i="8"/>
  <c r="DM41" i="8"/>
  <c r="DN41" i="8"/>
  <c r="DO41" i="8"/>
  <c r="DP41" i="8"/>
  <c r="DQ41" i="8"/>
  <c r="DR41" i="8"/>
  <c r="DS41" i="8"/>
  <c r="DT41" i="8"/>
  <c r="DU41" i="8"/>
  <c r="DV41" i="8"/>
  <c r="DW41" i="8"/>
  <c r="DX41" i="8"/>
  <c r="DY41" i="8"/>
  <c r="DZ41" i="8"/>
  <c r="EA41" i="8"/>
  <c r="EC41" i="8"/>
  <c r="ED41" i="8"/>
  <c r="EE41" i="8"/>
  <c r="EF41" i="8"/>
  <c r="EG41" i="8"/>
  <c r="EH41" i="8"/>
  <c r="G42" i="8"/>
  <c r="H42" i="8"/>
  <c r="I42" i="8"/>
  <c r="J42" i="8"/>
  <c r="BA42" i="8"/>
  <c r="BB42" i="8"/>
  <c r="BC42" i="8"/>
  <c r="BD42" i="8"/>
  <c r="BE42" i="8"/>
  <c r="BF42" i="8"/>
  <c r="BT42" i="8"/>
  <c r="BU42" i="8"/>
  <c r="BV42" i="8"/>
  <c r="BW42" i="8"/>
  <c r="BX42" i="8"/>
  <c r="CA42" i="8"/>
  <c r="CB42" i="8"/>
  <c r="CC42" i="8"/>
  <c r="CD42" i="8"/>
  <c r="CF42" i="8"/>
  <c r="CG42" i="8"/>
  <c r="CH42" i="8"/>
  <c r="CI42" i="8"/>
  <c r="CJ42" i="8"/>
  <c r="CK42" i="8"/>
  <c r="CL42" i="8"/>
  <c r="CM42" i="8"/>
  <c r="CN42" i="8"/>
  <c r="CO42" i="8"/>
  <c r="CP42" i="8"/>
  <c r="CQ42" i="8"/>
  <c r="CR42" i="8"/>
  <c r="DH42" i="8"/>
  <c r="DI42" i="8"/>
  <c r="DJ42" i="8"/>
  <c r="DK42" i="8"/>
  <c r="DL42" i="8"/>
  <c r="DM42" i="8"/>
  <c r="DN42" i="8"/>
  <c r="DO42" i="8"/>
  <c r="DP42" i="8"/>
  <c r="DQ42" i="8"/>
  <c r="DR42" i="8"/>
  <c r="DS42" i="8"/>
  <c r="DT42" i="8"/>
  <c r="DU42" i="8"/>
  <c r="DV42" i="8"/>
  <c r="DW42" i="8"/>
  <c r="DX42" i="8"/>
  <c r="DY42" i="8"/>
  <c r="DZ42" i="8"/>
  <c r="EA42" i="8"/>
  <c r="EC42" i="8"/>
  <c r="ED42" i="8"/>
  <c r="EE42" i="8"/>
  <c r="EF42" i="8"/>
  <c r="EG42" i="8"/>
  <c r="EH42" i="8"/>
  <c r="G43" i="8"/>
  <c r="H43" i="8"/>
  <c r="I43" i="8"/>
  <c r="J43" i="8"/>
  <c r="BA43" i="8"/>
  <c r="BB43" i="8"/>
  <c r="BC43" i="8"/>
  <c r="BD43" i="8"/>
  <c r="BE43" i="8"/>
  <c r="BF43" i="8"/>
  <c r="BT43" i="8"/>
  <c r="BU43" i="8"/>
  <c r="BV43" i="8"/>
  <c r="BW43" i="8"/>
  <c r="BX43" i="8"/>
  <c r="CA43" i="8"/>
  <c r="CB43" i="8"/>
  <c r="CC43" i="8"/>
  <c r="CD43" i="8"/>
  <c r="CF43" i="8"/>
  <c r="CG43" i="8"/>
  <c r="CH43" i="8"/>
  <c r="CI43" i="8"/>
  <c r="CJ43" i="8"/>
  <c r="CK43" i="8"/>
  <c r="CL43" i="8"/>
  <c r="CM43" i="8"/>
  <c r="CN43" i="8"/>
  <c r="CO43" i="8"/>
  <c r="CP43" i="8"/>
  <c r="CQ43" i="8"/>
  <c r="CR43" i="8"/>
  <c r="DH43" i="8"/>
  <c r="DI43" i="8"/>
  <c r="DJ43" i="8"/>
  <c r="DK43" i="8"/>
  <c r="DL43" i="8"/>
  <c r="DM43" i="8"/>
  <c r="DN43" i="8"/>
  <c r="DO43" i="8"/>
  <c r="DP43" i="8"/>
  <c r="DQ43" i="8"/>
  <c r="DR43" i="8"/>
  <c r="DS43" i="8"/>
  <c r="DT43" i="8"/>
  <c r="DU43" i="8"/>
  <c r="DV43" i="8"/>
  <c r="DW43" i="8"/>
  <c r="DX43" i="8"/>
  <c r="DY43" i="8"/>
  <c r="DZ43" i="8"/>
  <c r="EA43" i="8"/>
  <c r="EC43" i="8"/>
  <c r="ED43" i="8"/>
  <c r="EE43" i="8"/>
  <c r="EF43" i="8"/>
  <c r="EG43" i="8"/>
  <c r="EH43" i="8"/>
  <c r="G45" i="8"/>
  <c r="H45" i="8"/>
  <c r="I45" i="8"/>
  <c r="J45" i="8"/>
  <c r="BA45" i="8"/>
  <c r="BB45" i="8"/>
  <c r="BC45" i="8"/>
  <c r="BD45" i="8"/>
  <c r="BE45" i="8"/>
  <c r="BF45" i="8"/>
  <c r="BT45" i="8"/>
  <c r="BU45" i="8"/>
  <c r="BV45" i="8"/>
  <c r="BW45" i="8"/>
  <c r="BX45" i="8"/>
  <c r="CA45" i="8"/>
  <c r="CB45" i="8"/>
  <c r="CC45" i="8"/>
  <c r="CD45" i="8"/>
  <c r="CF45" i="8"/>
  <c r="CG45" i="8"/>
  <c r="CH45" i="8"/>
  <c r="CI45" i="8"/>
  <c r="CJ45" i="8"/>
  <c r="CK45" i="8"/>
  <c r="CL45" i="8"/>
  <c r="CM45" i="8"/>
  <c r="CN45" i="8"/>
  <c r="CO45" i="8"/>
  <c r="CP45" i="8"/>
  <c r="CQ45" i="8"/>
  <c r="CR45" i="8"/>
  <c r="DH45" i="8"/>
  <c r="DI45" i="8"/>
  <c r="DJ45" i="8"/>
  <c r="DK45" i="8"/>
  <c r="DL45" i="8"/>
  <c r="DM45" i="8"/>
  <c r="DN45" i="8"/>
  <c r="DO45" i="8"/>
  <c r="DP45" i="8"/>
  <c r="DQ45" i="8"/>
  <c r="DR45" i="8"/>
  <c r="DS45" i="8"/>
  <c r="DT45" i="8"/>
  <c r="DU45" i="8"/>
  <c r="DV45" i="8"/>
  <c r="DW45" i="8"/>
  <c r="DX45" i="8"/>
  <c r="DY45" i="8"/>
  <c r="DZ45" i="8"/>
  <c r="EA45" i="8"/>
  <c r="EC45" i="8"/>
  <c r="ED45" i="8"/>
  <c r="EE45" i="8"/>
  <c r="EF45" i="8"/>
  <c r="EG45" i="8"/>
  <c r="EH45" i="8"/>
  <c r="G47" i="8"/>
  <c r="H47" i="8"/>
  <c r="I47" i="8"/>
  <c r="J47" i="8"/>
  <c r="BA47" i="8"/>
  <c r="BB47" i="8"/>
  <c r="BC47" i="8"/>
  <c r="BD47" i="8"/>
  <c r="BE47" i="8"/>
  <c r="BF47" i="8"/>
  <c r="BT47" i="8"/>
  <c r="BU47" i="8"/>
  <c r="BV47" i="8"/>
  <c r="BW47" i="8"/>
  <c r="BX47" i="8"/>
  <c r="CA47" i="8"/>
  <c r="CB47" i="8"/>
  <c r="CC47" i="8"/>
  <c r="CD47" i="8"/>
  <c r="CF47" i="8"/>
  <c r="CG47" i="8"/>
  <c r="CH47" i="8"/>
  <c r="CI47" i="8"/>
  <c r="CJ47" i="8"/>
  <c r="CK47" i="8"/>
  <c r="CL47" i="8"/>
  <c r="CM47" i="8"/>
  <c r="CN47" i="8"/>
  <c r="CO47" i="8"/>
  <c r="CP47" i="8"/>
  <c r="CQ47" i="8"/>
  <c r="CR47" i="8"/>
  <c r="DH47" i="8"/>
  <c r="DI47" i="8"/>
  <c r="DJ47" i="8"/>
  <c r="DK47" i="8"/>
  <c r="DL47" i="8"/>
  <c r="DM47" i="8"/>
  <c r="DN47" i="8"/>
  <c r="DO47" i="8"/>
  <c r="DP47" i="8"/>
  <c r="DQ47" i="8"/>
  <c r="DR47" i="8"/>
  <c r="DS47" i="8"/>
  <c r="DT47" i="8"/>
  <c r="DU47" i="8"/>
  <c r="DV47" i="8"/>
  <c r="DW47" i="8"/>
  <c r="DX47" i="8"/>
  <c r="DY47" i="8"/>
  <c r="DZ47" i="8"/>
  <c r="EA47" i="8"/>
  <c r="EC47" i="8"/>
  <c r="ED47" i="8"/>
  <c r="EE47" i="8"/>
  <c r="EF47" i="8"/>
  <c r="EG47" i="8"/>
  <c r="EH47" i="8"/>
  <c r="J5" i="19" l="1"/>
  <c r="J9" i="19"/>
  <c r="J13" i="19"/>
  <c r="J287" i="19"/>
  <c r="J286" i="19"/>
  <c r="J282" i="19"/>
  <c r="J281" i="19"/>
  <c r="J280" i="19"/>
  <c r="J276" i="19"/>
  <c r="J275" i="19"/>
  <c r="J274" i="19"/>
  <c r="J273" i="19"/>
  <c r="J272" i="19"/>
  <c r="J271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J254" i="19"/>
  <c r="J253" i="19"/>
  <c r="J249" i="19"/>
  <c r="J248" i="19"/>
  <c r="J247" i="19"/>
  <c r="J246" i="19"/>
  <c r="J245" i="19"/>
  <c r="J244" i="19"/>
  <c r="J243" i="19"/>
  <c r="J242" i="19"/>
  <c r="J241" i="19"/>
  <c r="J240" i="19"/>
  <c r="J239" i="19"/>
  <c r="J238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J200" i="19"/>
  <c r="J199" i="19"/>
  <c r="J198" i="19"/>
  <c r="J197" i="19"/>
  <c r="J196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J173" i="19"/>
  <c r="J172" i="19"/>
  <c r="J171" i="19"/>
  <c r="J170" i="19"/>
  <c r="J16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2" i="19"/>
  <c r="J11" i="19"/>
  <c r="J10" i="19"/>
  <c r="J7" i="19"/>
  <c r="J6" i="19"/>
  <c r="J4" i="19"/>
  <c r="J3" i="19"/>
  <c r="J2" i="19"/>
  <c r="J193" i="19" l="1"/>
  <c r="J283" i="19"/>
  <c r="J61" i="19"/>
  <c r="J235" i="19"/>
  <c r="Q11" i="19" s="1"/>
  <c r="J250" i="19"/>
  <c r="J277" i="19"/>
  <c r="J288" i="19"/>
  <c r="J31" i="16"/>
  <c r="E46" i="16"/>
  <c r="E47" i="16"/>
  <c r="E36" i="16"/>
  <c r="E37" i="16"/>
  <c r="E38" i="16"/>
  <c r="E39" i="16"/>
  <c r="E40" i="16"/>
  <c r="E43" i="16"/>
  <c r="E44" i="16"/>
  <c r="E45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9" i="16"/>
  <c r="E20" i="16"/>
  <c r="E21" i="16"/>
  <c r="E22" i="16"/>
  <c r="E23" i="16"/>
  <c r="E28" i="16"/>
  <c r="E29" i="16"/>
  <c r="E30" i="16"/>
  <c r="E31" i="16"/>
  <c r="E32" i="16"/>
  <c r="E33" i="16"/>
  <c r="E34" i="16"/>
  <c r="E35" i="16"/>
  <c r="E4" i="16"/>
  <c r="F30" i="8" l="1"/>
  <c r="D30" i="8"/>
  <c r="F33" i="8"/>
  <c r="D33" i="8"/>
  <c r="F41" i="16"/>
  <c r="AC33" i="8" l="1"/>
  <c r="BI33" i="8"/>
  <c r="BM33" i="8"/>
  <c r="BQ33" i="8"/>
  <c r="BG33" i="8"/>
  <c r="BO33" i="8"/>
  <c r="BH33" i="8"/>
  <c r="BP33" i="8"/>
  <c r="BJ33" i="8"/>
  <c r="BN33" i="8"/>
  <c r="BR33" i="8"/>
  <c r="BK33" i="8"/>
  <c r="BS33" i="8"/>
  <c r="BL33" i="8"/>
  <c r="CE33" i="8"/>
  <c r="AI33" i="8"/>
  <c r="BY33" i="8"/>
  <c r="AV33" i="8"/>
  <c r="BZ33" i="8"/>
  <c r="AC30" i="8"/>
  <c r="BG30" i="8"/>
  <c r="BK30" i="8"/>
  <c r="BO30" i="8"/>
  <c r="BS30" i="8"/>
  <c r="BI30" i="8"/>
  <c r="BQ30" i="8"/>
  <c r="BN30" i="8"/>
  <c r="BH30" i="8"/>
  <c r="BL30" i="8"/>
  <c r="BP30" i="8"/>
  <c r="BM30" i="8"/>
  <c r="BJ30" i="8"/>
  <c r="BR30" i="8"/>
  <c r="CE30" i="8"/>
  <c r="AI30" i="8"/>
  <c r="AV30" i="8"/>
  <c r="BZ30" i="8"/>
  <c r="BY30" i="8"/>
  <c r="N33" i="8"/>
  <c r="R33" i="8"/>
  <c r="V33" i="8"/>
  <c r="Z33" i="8"/>
  <c r="AE33" i="8"/>
  <c r="AJ33" i="8"/>
  <c r="AN33" i="8"/>
  <c r="AR33" i="8"/>
  <c r="AW33" i="8"/>
  <c r="L33" i="8"/>
  <c r="Q33" i="8"/>
  <c r="W33" i="8"/>
  <c r="AB33" i="8"/>
  <c r="AH33" i="8"/>
  <c r="AO33" i="8"/>
  <c r="AT33" i="8"/>
  <c r="AZ33" i="8"/>
  <c r="O33" i="8"/>
  <c r="T33" i="8"/>
  <c r="Y33" i="8"/>
  <c r="AF33" i="8"/>
  <c r="AL33" i="8"/>
  <c r="AQ33" i="8"/>
  <c r="AX33" i="8"/>
  <c r="K33" i="8"/>
  <c r="U33" i="8"/>
  <c r="AG33" i="8"/>
  <c r="AS33" i="8"/>
  <c r="M33" i="8"/>
  <c r="X33" i="8"/>
  <c r="AK33" i="8"/>
  <c r="AU33" i="8"/>
  <c r="P33" i="8"/>
  <c r="AA33" i="8"/>
  <c r="AM33" i="8"/>
  <c r="AY33" i="8"/>
  <c r="S33" i="8"/>
  <c r="AD33" i="8"/>
  <c r="AP33" i="8"/>
  <c r="CU33" i="8"/>
  <c r="CY33" i="8"/>
  <c r="DC33" i="8"/>
  <c r="DG33" i="8"/>
  <c r="H33" i="8"/>
  <c r="BB33" i="8"/>
  <c r="BF33" i="8"/>
  <c r="BW33" i="8"/>
  <c r="CC33" i="8"/>
  <c r="CH33" i="8"/>
  <c r="CL33" i="8"/>
  <c r="CP33" i="8"/>
  <c r="DI33" i="8"/>
  <c r="DM33" i="8"/>
  <c r="DQ33" i="8"/>
  <c r="DU33" i="8"/>
  <c r="DY33" i="8"/>
  <c r="ED33" i="8"/>
  <c r="EH33" i="8"/>
  <c r="CS33" i="8"/>
  <c r="CW33" i="8"/>
  <c r="DA33" i="8"/>
  <c r="DE33" i="8"/>
  <c r="J33" i="8"/>
  <c r="BD33" i="8"/>
  <c r="BU33" i="8"/>
  <c r="CA33" i="8"/>
  <c r="CF33" i="8"/>
  <c r="CJ33" i="8"/>
  <c r="CN33" i="8"/>
  <c r="CR33" i="8"/>
  <c r="DK33" i="8"/>
  <c r="DO33" i="8"/>
  <c r="DS33" i="8"/>
  <c r="DW33" i="8"/>
  <c r="EA33" i="8"/>
  <c r="EF33" i="8"/>
  <c r="CZ33" i="8"/>
  <c r="BE33" i="8"/>
  <c r="DH33" i="8"/>
  <c r="EG33" i="8"/>
  <c r="CV33" i="8"/>
  <c r="DD33" i="8"/>
  <c r="BA33" i="8"/>
  <c r="BV33" i="8"/>
  <c r="CG33" i="8"/>
  <c r="CO33" i="8"/>
  <c r="DL33" i="8"/>
  <c r="DT33" i="8"/>
  <c r="EC33" i="8"/>
  <c r="CX33" i="8"/>
  <c r="DF33" i="8"/>
  <c r="BC33" i="8"/>
  <c r="BX33" i="8"/>
  <c r="CI33" i="8"/>
  <c r="CQ33" i="8"/>
  <c r="DN33" i="8"/>
  <c r="DV33" i="8"/>
  <c r="EE33" i="8"/>
  <c r="G33" i="8"/>
  <c r="CB33" i="8"/>
  <c r="CK33" i="8"/>
  <c r="DP33" i="8"/>
  <c r="DX33" i="8"/>
  <c r="CT33" i="8"/>
  <c r="BT33" i="8"/>
  <c r="DR33" i="8"/>
  <c r="CD33" i="8"/>
  <c r="CM33" i="8"/>
  <c r="I33" i="8"/>
  <c r="DJ33" i="8"/>
  <c r="DB33" i="8"/>
  <c r="DZ33" i="8"/>
  <c r="M30" i="8"/>
  <c r="Q30" i="8"/>
  <c r="U30" i="8"/>
  <c r="Y30" i="8"/>
  <c r="AD30" i="8"/>
  <c r="AH30" i="8"/>
  <c r="AM30" i="8"/>
  <c r="AQ30" i="8"/>
  <c r="AU30" i="8"/>
  <c r="AZ30" i="8"/>
  <c r="N30" i="8"/>
  <c r="R30" i="8"/>
  <c r="V30" i="8"/>
  <c r="Z30" i="8"/>
  <c r="AE30" i="8"/>
  <c r="AJ30" i="8"/>
  <c r="AN30" i="8"/>
  <c r="AR30" i="8"/>
  <c r="AW30" i="8"/>
  <c r="K30" i="8"/>
  <c r="O30" i="8"/>
  <c r="S30" i="8"/>
  <c r="W30" i="8"/>
  <c r="AA30" i="8"/>
  <c r="AF30" i="8"/>
  <c r="AK30" i="8"/>
  <c r="AO30" i="8"/>
  <c r="AS30" i="8"/>
  <c r="AX30" i="8"/>
  <c r="L30" i="8"/>
  <c r="P30" i="8"/>
  <c r="T30" i="8"/>
  <c r="X30" i="8"/>
  <c r="AB30" i="8"/>
  <c r="AG30" i="8"/>
  <c r="AL30" i="8"/>
  <c r="AP30" i="8"/>
  <c r="AT30" i="8"/>
  <c r="AY30" i="8"/>
  <c r="CS30" i="8"/>
  <c r="CW30" i="8"/>
  <c r="DA30" i="8"/>
  <c r="DE30" i="8"/>
  <c r="I30" i="8"/>
  <c r="BC30" i="8"/>
  <c r="BT30" i="8"/>
  <c r="BX30" i="8"/>
  <c r="CD30" i="8"/>
  <c r="CI30" i="8"/>
  <c r="CM30" i="8"/>
  <c r="CQ30" i="8"/>
  <c r="DJ30" i="8"/>
  <c r="DN30" i="8"/>
  <c r="DR30" i="8"/>
  <c r="DV30" i="8"/>
  <c r="DZ30" i="8"/>
  <c r="EF30" i="8"/>
  <c r="CT30" i="8"/>
  <c r="CX30" i="8"/>
  <c r="DB30" i="8"/>
  <c r="DF30" i="8"/>
  <c r="J30" i="8"/>
  <c r="BD30" i="8"/>
  <c r="BU30" i="8"/>
  <c r="CA30" i="8"/>
  <c r="CJ30" i="8"/>
  <c r="CN30" i="8"/>
  <c r="CR30" i="8"/>
  <c r="DK30" i="8"/>
  <c r="DO30" i="8"/>
  <c r="DS30" i="8"/>
  <c r="DW30" i="8"/>
  <c r="EA30" i="8"/>
  <c r="EG30" i="8"/>
  <c r="CU30" i="8"/>
  <c r="CY30" i="8"/>
  <c r="DC30" i="8"/>
  <c r="DG30" i="8"/>
  <c r="G30" i="8"/>
  <c r="BA30" i="8"/>
  <c r="BE30" i="8"/>
  <c r="BV30" i="8"/>
  <c r="CB30" i="8"/>
  <c r="CG30" i="8"/>
  <c r="CK30" i="8"/>
  <c r="CO30" i="8"/>
  <c r="DH30" i="8"/>
  <c r="DL30" i="8"/>
  <c r="DP30" i="8"/>
  <c r="DT30" i="8"/>
  <c r="DX30" i="8"/>
  <c r="ED30" i="8"/>
  <c r="EH30" i="8"/>
  <c r="CV30" i="8"/>
  <c r="CZ30" i="8"/>
  <c r="DD30" i="8"/>
  <c r="EC30" i="8"/>
  <c r="H30" i="8"/>
  <c r="BB30" i="8"/>
  <c r="BF30" i="8"/>
  <c r="BW30" i="8"/>
  <c r="CC30" i="8"/>
  <c r="CH30" i="8"/>
  <c r="CL30" i="8"/>
  <c r="CP30" i="8"/>
  <c r="DI30" i="8"/>
  <c r="DM30" i="8"/>
  <c r="DQ30" i="8"/>
  <c r="DU30" i="8"/>
  <c r="DY30" i="8"/>
  <c r="EE30" i="8"/>
  <c r="CF30" i="8"/>
  <c r="F42" i="16"/>
  <c r="I42" i="16" s="1"/>
  <c r="J42" i="16" s="1"/>
  <c r="I41" i="16"/>
  <c r="J41" i="16" s="1"/>
  <c r="EI18" i="8"/>
  <c r="EI41" i="8"/>
  <c r="F40" i="8"/>
  <c r="F46" i="8"/>
  <c r="F44" i="8"/>
  <c r="F26" i="8"/>
  <c r="D19" i="8"/>
  <c r="F19" i="8"/>
  <c r="AC44" i="8" l="1"/>
  <c r="BH44" i="8"/>
  <c r="BL44" i="8"/>
  <c r="BP44" i="8"/>
  <c r="BJ44" i="8"/>
  <c r="BR44" i="8"/>
  <c r="BG44" i="8"/>
  <c r="BO44" i="8"/>
  <c r="BS44" i="8"/>
  <c r="BI44" i="8"/>
  <c r="BM44" i="8"/>
  <c r="BQ44" i="8"/>
  <c r="BN44" i="8"/>
  <c r="BK44" i="8"/>
  <c r="CE44" i="8"/>
  <c r="AV44" i="8"/>
  <c r="BY44" i="8"/>
  <c r="AI44" i="8"/>
  <c r="BZ44" i="8"/>
  <c r="AC46" i="8"/>
  <c r="BJ46" i="8"/>
  <c r="BN46" i="8"/>
  <c r="BR46" i="8"/>
  <c r="BL46" i="8"/>
  <c r="BI46" i="8"/>
  <c r="BM46" i="8"/>
  <c r="BG46" i="8"/>
  <c r="BK46" i="8"/>
  <c r="BO46" i="8"/>
  <c r="BS46" i="8"/>
  <c r="BH46" i="8"/>
  <c r="BP46" i="8"/>
  <c r="BQ46" i="8"/>
  <c r="CE46" i="8"/>
  <c r="AI46" i="8"/>
  <c r="BY46" i="8"/>
  <c r="BZ46" i="8"/>
  <c r="AV46" i="8"/>
  <c r="AC40" i="8"/>
  <c r="BH40" i="8"/>
  <c r="BL40" i="8"/>
  <c r="BP40" i="8"/>
  <c r="BG40" i="8"/>
  <c r="BS40" i="8"/>
  <c r="BI40" i="8"/>
  <c r="BM40" i="8"/>
  <c r="BQ40" i="8"/>
  <c r="BK40" i="8"/>
  <c r="BO40" i="8"/>
  <c r="BJ40" i="8"/>
  <c r="BN40" i="8"/>
  <c r="BR40" i="8"/>
  <c r="CE40" i="8"/>
  <c r="AV40" i="8"/>
  <c r="BY40" i="8"/>
  <c r="BZ40" i="8"/>
  <c r="AI40" i="8"/>
  <c r="AC26" i="8"/>
  <c r="BG26" i="8"/>
  <c r="BK26" i="8"/>
  <c r="BO26" i="8"/>
  <c r="BS26" i="8"/>
  <c r="BJ26" i="8"/>
  <c r="BR26" i="8"/>
  <c r="BH26" i="8"/>
  <c r="BL26" i="8"/>
  <c r="BP26" i="8"/>
  <c r="BN26" i="8"/>
  <c r="BI26" i="8"/>
  <c r="BM26" i="8"/>
  <c r="BQ26" i="8"/>
  <c r="CE26" i="8"/>
  <c r="AI26" i="8"/>
  <c r="BZ26" i="8"/>
  <c r="BY26" i="8"/>
  <c r="AV26" i="8"/>
  <c r="J38" i="3"/>
  <c r="AC19" i="8"/>
  <c r="BI19" i="8"/>
  <c r="BM19" i="8"/>
  <c r="BQ19" i="8"/>
  <c r="BG19" i="8"/>
  <c r="BO19" i="8"/>
  <c r="BH19" i="8"/>
  <c r="BP19" i="8"/>
  <c r="BJ19" i="8"/>
  <c r="BN19" i="8"/>
  <c r="BR19" i="8"/>
  <c r="BK19" i="8"/>
  <c r="BS19" i="8"/>
  <c r="BL19" i="8"/>
  <c r="CE19" i="8"/>
  <c r="BY19" i="8"/>
  <c r="AI19" i="8"/>
  <c r="BZ19" i="8"/>
  <c r="AV19" i="8"/>
  <c r="M26" i="8"/>
  <c r="Q26" i="8"/>
  <c r="U26" i="8"/>
  <c r="Y26" i="8"/>
  <c r="AD26" i="8"/>
  <c r="AH26" i="8"/>
  <c r="AM26" i="8"/>
  <c r="AQ26" i="8"/>
  <c r="AU26" i="8"/>
  <c r="AZ26" i="8"/>
  <c r="K26" i="8"/>
  <c r="P26" i="8"/>
  <c r="V26" i="8"/>
  <c r="AA26" i="8"/>
  <c r="AG26" i="8"/>
  <c r="AN26" i="8"/>
  <c r="AS26" i="8"/>
  <c r="AY26" i="8"/>
  <c r="N26" i="8"/>
  <c r="S26" i="8"/>
  <c r="X26" i="8"/>
  <c r="AE26" i="8"/>
  <c r="AK26" i="8"/>
  <c r="AP26" i="8"/>
  <c r="AW26" i="8"/>
  <c r="R26" i="8"/>
  <c r="AB26" i="8"/>
  <c r="AO26" i="8"/>
  <c r="T26" i="8"/>
  <c r="AF26" i="8"/>
  <c r="AR26" i="8"/>
  <c r="L26" i="8"/>
  <c r="W26" i="8"/>
  <c r="AJ26" i="8"/>
  <c r="AT26" i="8"/>
  <c r="O26" i="8"/>
  <c r="Z26" i="8"/>
  <c r="AL26" i="8"/>
  <c r="AX26" i="8"/>
  <c r="CT26" i="8"/>
  <c r="CX26" i="8"/>
  <c r="DB26" i="8"/>
  <c r="DF26" i="8"/>
  <c r="J26" i="8"/>
  <c r="BD26" i="8"/>
  <c r="BU26" i="8"/>
  <c r="CA26" i="8"/>
  <c r="CF26" i="8"/>
  <c r="CJ26" i="8"/>
  <c r="CN26" i="8"/>
  <c r="CR26" i="8"/>
  <c r="DK26" i="8"/>
  <c r="DO26" i="8"/>
  <c r="DS26" i="8"/>
  <c r="DW26" i="8"/>
  <c r="EA26" i="8"/>
  <c r="EF26" i="8"/>
  <c r="CV26" i="8"/>
  <c r="CZ26" i="8"/>
  <c r="DD26" i="8"/>
  <c r="H26" i="8"/>
  <c r="BB26" i="8"/>
  <c r="BF26" i="8"/>
  <c r="BW26" i="8"/>
  <c r="CC26" i="8"/>
  <c r="CH26" i="8"/>
  <c r="CL26" i="8"/>
  <c r="CP26" i="8"/>
  <c r="DI26" i="8"/>
  <c r="DM26" i="8"/>
  <c r="DQ26" i="8"/>
  <c r="DU26" i="8"/>
  <c r="DY26" i="8"/>
  <c r="ED26" i="8"/>
  <c r="EH26" i="8"/>
  <c r="CY26" i="8"/>
  <c r="DG26" i="8"/>
  <c r="BX26" i="8"/>
  <c r="DN26" i="8"/>
  <c r="EE26" i="8"/>
  <c r="CU26" i="8"/>
  <c r="DC26" i="8"/>
  <c r="I26" i="8"/>
  <c r="BT26" i="8"/>
  <c r="CD26" i="8"/>
  <c r="CM26" i="8"/>
  <c r="DJ26" i="8"/>
  <c r="DR26" i="8"/>
  <c r="DZ26" i="8"/>
  <c r="CW26" i="8"/>
  <c r="DE26" i="8"/>
  <c r="BA26" i="8"/>
  <c r="BV26" i="8"/>
  <c r="CG26" i="8"/>
  <c r="CO26" i="8"/>
  <c r="DL26" i="8"/>
  <c r="DT26" i="8"/>
  <c r="EC26" i="8"/>
  <c r="BC26" i="8"/>
  <c r="CI26" i="8"/>
  <c r="CQ26" i="8"/>
  <c r="DV26" i="8"/>
  <c r="DA26" i="8"/>
  <c r="BE26" i="8"/>
  <c r="DP26" i="8"/>
  <c r="DX26" i="8"/>
  <c r="CK26" i="8"/>
  <c r="EG26" i="8"/>
  <c r="CS26" i="8"/>
  <c r="G26" i="8"/>
  <c r="DH26" i="8"/>
  <c r="CB26" i="8"/>
  <c r="L44" i="8"/>
  <c r="P44" i="8"/>
  <c r="T44" i="8"/>
  <c r="X44" i="8"/>
  <c r="AB44" i="8"/>
  <c r="AG44" i="8"/>
  <c r="AL44" i="8"/>
  <c r="N44" i="8"/>
  <c r="R44" i="8"/>
  <c r="V44" i="8"/>
  <c r="Z44" i="8"/>
  <c r="AE44" i="8"/>
  <c r="AJ44" i="8"/>
  <c r="AN44" i="8"/>
  <c r="AR44" i="8"/>
  <c r="AW44" i="8"/>
  <c r="M44" i="8"/>
  <c r="U44" i="8"/>
  <c r="AD44" i="8"/>
  <c r="AM44" i="8"/>
  <c r="AS44" i="8"/>
  <c r="AY44" i="8"/>
  <c r="AF44" i="8"/>
  <c r="Q44" i="8"/>
  <c r="Y44" i="8"/>
  <c r="AH44" i="8"/>
  <c r="AP44" i="8"/>
  <c r="AU44" i="8"/>
  <c r="K44" i="8"/>
  <c r="S44" i="8"/>
  <c r="AA44" i="8"/>
  <c r="AK44" i="8"/>
  <c r="AQ44" i="8"/>
  <c r="AX44" i="8"/>
  <c r="O44" i="8"/>
  <c r="W44" i="8"/>
  <c r="AO44" i="8"/>
  <c r="AT44" i="8"/>
  <c r="AZ44" i="8"/>
  <c r="CT44" i="8"/>
  <c r="CX44" i="8"/>
  <c r="DB44" i="8"/>
  <c r="DF44" i="8"/>
  <c r="CV44" i="8"/>
  <c r="CZ44" i="8"/>
  <c r="DD44" i="8"/>
  <c r="CS44" i="8"/>
  <c r="CW44" i="8"/>
  <c r="DE44" i="8"/>
  <c r="I44" i="8"/>
  <c r="BC44" i="8"/>
  <c r="BT44" i="8"/>
  <c r="BX44" i="8"/>
  <c r="CD44" i="8"/>
  <c r="CI44" i="8"/>
  <c r="CM44" i="8"/>
  <c r="CQ44" i="8"/>
  <c r="DJ44" i="8"/>
  <c r="DN44" i="8"/>
  <c r="DR44" i="8"/>
  <c r="DV44" i="8"/>
  <c r="DZ44" i="8"/>
  <c r="EE44" i="8"/>
  <c r="CY44" i="8"/>
  <c r="DG44" i="8"/>
  <c r="J44" i="8"/>
  <c r="BD44" i="8"/>
  <c r="BU44" i="8"/>
  <c r="CA44" i="8"/>
  <c r="CF44" i="8"/>
  <c r="CJ44" i="8"/>
  <c r="CN44" i="8"/>
  <c r="CR44" i="8"/>
  <c r="DK44" i="8"/>
  <c r="DO44" i="8"/>
  <c r="DS44" i="8"/>
  <c r="DW44" i="8"/>
  <c r="EA44" i="8"/>
  <c r="EF44" i="8"/>
  <c r="DA44" i="8"/>
  <c r="BA44" i="8"/>
  <c r="BV44" i="8"/>
  <c r="CG44" i="8"/>
  <c r="CO44" i="8"/>
  <c r="DL44" i="8"/>
  <c r="DT44" i="8"/>
  <c r="EC44" i="8"/>
  <c r="BB44" i="8"/>
  <c r="CP44" i="8"/>
  <c r="DU44" i="8"/>
  <c r="DC44" i="8"/>
  <c r="G44" i="8"/>
  <c r="BE44" i="8"/>
  <c r="CB44" i="8"/>
  <c r="CK44" i="8"/>
  <c r="DH44" i="8"/>
  <c r="DP44" i="8"/>
  <c r="DX44" i="8"/>
  <c r="EG44" i="8"/>
  <c r="H44" i="8"/>
  <c r="BF44" i="8"/>
  <c r="CC44" i="8"/>
  <c r="CL44" i="8"/>
  <c r="DI44" i="8"/>
  <c r="DQ44" i="8"/>
  <c r="DY44" i="8"/>
  <c r="EH44" i="8"/>
  <c r="CU44" i="8"/>
  <c r="BW44" i="8"/>
  <c r="CH44" i="8"/>
  <c r="DM44" i="8"/>
  <c r="ED44" i="8"/>
  <c r="L46" i="8"/>
  <c r="P46" i="8"/>
  <c r="T46" i="8"/>
  <c r="X46" i="8"/>
  <c r="AB46" i="8"/>
  <c r="AG46" i="8"/>
  <c r="AL46" i="8"/>
  <c r="AP46" i="8"/>
  <c r="AT46" i="8"/>
  <c r="AY46" i="8"/>
  <c r="O46" i="8"/>
  <c r="U46" i="8"/>
  <c r="Z46" i="8"/>
  <c r="AF46" i="8"/>
  <c r="AM46" i="8"/>
  <c r="AR46" i="8"/>
  <c r="AX46" i="8"/>
  <c r="AA46" i="8"/>
  <c r="AS46" i="8"/>
  <c r="M46" i="8"/>
  <c r="R46" i="8"/>
  <c r="W46" i="8"/>
  <c r="AD46" i="8"/>
  <c r="AJ46" i="8"/>
  <c r="AO46" i="8"/>
  <c r="AU46" i="8"/>
  <c r="N46" i="8"/>
  <c r="S46" i="8"/>
  <c r="Y46" i="8"/>
  <c r="AE46" i="8"/>
  <c r="AK46" i="8"/>
  <c r="AQ46" i="8"/>
  <c r="AW46" i="8"/>
  <c r="K46" i="8"/>
  <c r="Q46" i="8"/>
  <c r="V46" i="8"/>
  <c r="AH46" i="8"/>
  <c r="AN46" i="8"/>
  <c r="AZ46" i="8"/>
  <c r="CV46" i="8"/>
  <c r="CZ46" i="8"/>
  <c r="DD46" i="8"/>
  <c r="CT46" i="8"/>
  <c r="CX46" i="8"/>
  <c r="DB46" i="8"/>
  <c r="DF46" i="8"/>
  <c r="DC46" i="8"/>
  <c r="CY46" i="8"/>
  <c r="DG46" i="8"/>
  <c r="G46" i="8"/>
  <c r="BA46" i="8"/>
  <c r="BE46" i="8"/>
  <c r="BV46" i="8"/>
  <c r="CB46" i="8"/>
  <c r="CG46" i="8"/>
  <c r="CK46" i="8"/>
  <c r="CO46" i="8"/>
  <c r="DH46" i="8"/>
  <c r="DL46" i="8"/>
  <c r="DP46" i="8"/>
  <c r="DT46" i="8"/>
  <c r="DX46" i="8"/>
  <c r="EC46" i="8"/>
  <c r="EG46" i="8"/>
  <c r="CS46" i="8"/>
  <c r="DA46" i="8"/>
  <c r="H46" i="8"/>
  <c r="BB46" i="8"/>
  <c r="BF46" i="8"/>
  <c r="BW46" i="8"/>
  <c r="CC46" i="8"/>
  <c r="CH46" i="8"/>
  <c r="CL46" i="8"/>
  <c r="CP46" i="8"/>
  <c r="DI46" i="8"/>
  <c r="DM46" i="8"/>
  <c r="DQ46" i="8"/>
  <c r="DU46" i="8"/>
  <c r="DY46" i="8"/>
  <c r="ED46" i="8"/>
  <c r="EH46" i="8"/>
  <c r="CU46" i="8"/>
  <c r="I46" i="8"/>
  <c r="BT46" i="8"/>
  <c r="CD46" i="8"/>
  <c r="CM46" i="8"/>
  <c r="DJ46" i="8"/>
  <c r="DR46" i="8"/>
  <c r="DZ46" i="8"/>
  <c r="J46" i="8"/>
  <c r="CN46" i="8"/>
  <c r="DS46" i="8"/>
  <c r="CW46" i="8"/>
  <c r="BC46" i="8"/>
  <c r="BX46" i="8"/>
  <c r="CI46" i="8"/>
  <c r="CQ46" i="8"/>
  <c r="DN46" i="8"/>
  <c r="DV46" i="8"/>
  <c r="EE46" i="8"/>
  <c r="DE46" i="8"/>
  <c r="BD46" i="8"/>
  <c r="CA46" i="8"/>
  <c r="CJ46" i="8"/>
  <c r="CR46" i="8"/>
  <c r="DO46" i="8"/>
  <c r="DW46" i="8"/>
  <c r="EF46" i="8"/>
  <c r="BU46" i="8"/>
  <c r="CF46" i="8"/>
  <c r="DK46" i="8"/>
  <c r="EA46" i="8"/>
  <c r="L40" i="8"/>
  <c r="P40" i="8"/>
  <c r="T40" i="8"/>
  <c r="X40" i="8"/>
  <c r="AB40" i="8"/>
  <c r="AG40" i="8"/>
  <c r="AL40" i="8"/>
  <c r="AP40" i="8"/>
  <c r="AT40" i="8"/>
  <c r="AY40" i="8"/>
  <c r="N40" i="8"/>
  <c r="R40" i="8"/>
  <c r="V40" i="8"/>
  <c r="Z40" i="8"/>
  <c r="AE40" i="8"/>
  <c r="AJ40" i="8"/>
  <c r="AN40" i="8"/>
  <c r="AR40" i="8"/>
  <c r="AW40" i="8"/>
  <c r="O40" i="8"/>
  <c r="W40" i="8"/>
  <c r="AF40" i="8"/>
  <c r="AO40" i="8"/>
  <c r="AX40" i="8"/>
  <c r="Q40" i="8"/>
  <c r="AH40" i="8"/>
  <c r="AZ40" i="8"/>
  <c r="K40" i="8"/>
  <c r="S40" i="8"/>
  <c r="AA40" i="8"/>
  <c r="AK40" i="8"/>
  <c r="AS40" i="8"/>
  <c r="M40" i="8"/>
  <c r="U40" i="8"/>
  <c r="AD40" i="8"/>
  <c r="AM40" i="8"/>
  <c r="AU40" i="8"/>
  <c r="Y40" i="8"/>
  <c r="AQ40" i="8"/>
  <c r="CT40" i="8"/>
  <c r="CX40" i="8"/>
  <c r="DB40" i="8"/>
  <c r="DF40" i="8"/>
  <c r="CV40" i="8"/>
  <c r="CZ40" i="8"/>
  <c r="DD40" i="8"/>
  <c r="CU40" i="8"/>
  <c r="CB40" i="8"/>
  <c r="CY40" i="8"/>
  <c r="DG40" i="8"/>
  <c r="I40" i="8"/>
  <c r="BC40" i="8"/>
  <c r="BT40" i="8"/>
  <c r="BX40" i="8"/>
  <c r="CD40" i="8"/>
  <c r="CI40" i="8"/>
  <c r="CM40" i="8"/>
  <c r="CQ40" i="8"/>
  <c r="DJ40" i="8"/>
  <c r="DN40" i="8"/>
  <c r="DR40" i="8"/>
  <c r="DV40" i="8"/>
  <c r="DZ40" i="8"/>
  <c r="EE40" i="8"/>
  <c r="CS40" i="8"/>
  <c r="DA40" i="8"/>
  <c r="J40" i="8"/>
  <c r="BD40" i="8"/>
  <c r="BU40" i="8"/>
  <c r="CA40" i="8"/>
  <c r="CF40" i="8"/>
  <c r="CJ40" i="8"/>
  <c r="CN40" i="8"/>
  <c r="CR40" i="8"/>
  <c r="DK40" i="8"/>
  <c r="DO40" i="8"/>
  <c r="DS40" i="8"/>
  <c r="DW40" i="8"/>
  <c r="EA40" i="8"/>
  <c r="EF40" i="8"/>
  <c r="DC40" i="8"/>
  <c r="G40" i="8"/>
  <c r="BA40" i="8"/>
  <c r="BE40" i="8"/>
  <c r="BV40" i="8"/>
  <c r="CG40" i="8"/>
  <c r="CK40" i="8"/>
  <c r="CO40" i="8"/>
  <c r="BB40" i="8"/>
  <c r="CH40" i="8"/>
  <c r="DI40" i="8"/>
  <c r="DQ40" i="8"/>
  <c r="DY40" i="8"/>
  <c r="EH40" i="8"/>
  <c r="CL40" i="8"/>
  <c r="DT40" i="8"/>
  <c r="CW40" i="8"/>
  <c r="BW40" i="8"/>
  <c r="CP40" i="8"/>
  <c r="DM40" i="8"/>
  <c r="DU40" i="8"/>
  <c r="ED40" i="8"/>
  <c r="DE40" i="8"/>
  <c r="H40" i="8"/>
  <c r="CC40" i="8"/>
  <c r="DH40" i="8"/>
  <c r="DP40" i="8"/>
  <c r="DX40" i="8"/>
  <c r="EG40" i="8"/>
  <c r="BF40" i="8"/>
  <c r="DL40" i="8"/>
  <c r="EC40" i="8"/>
  <c r="J39" i="3"/>
  <c r="L19" i="8"/>
  <c r="P19" i="8"/>
  <c r="T19" i="8"/>
  <c r="X19" i="8"/>
  <c r="AB19" i="8"/>
  <c r="AG19" i="8"/>
  <c r="AL19" i="8"/>
  <c r="AP19" i="8"/>
  <c r="AT19" i="8"/>
  <c r="AY19" i="8"/>
  <c r="N19" i="8"/>
  <c r="V19" i="8"/>
  <c r="AE19" i="8"/>
  <c r="AN19" i="8"/>
  <c r="AW19" i="8"/>
  <c r="K19" i="8"/>
  <c r="S19" i="8"/>
  <c r="AA19" i="8"/>
  <c r="AK19" i="8"/>
  <c r="AS19" i="8"/>
  <c r="M19" i="8"/>
  <c r="Q19" i="8"/>
  <c r="U19" i="8"/>
  <c r="Y19" i="8"/>
  <c r="AD19" i="8"/>
  <c r="AH19" i="8"/>
  <c r="AM19" i="8"/>
  <c r="AQ19" i="8"/>
  <c r="AU19" i="8"/>
  <c r="AZ19" i="8"/>
  <c r="R19" i="8"/>
  <c r="Z19" i="8"/>
  <c r="AJ19" i="8"/>
  <c r="AR19" i="8"/>
  <c r="O19" i="8"/>
  <c r="W19" i="8"/>
  <c r="AF19" i="8"/>
  <c r="AO19" i="8"/>
  <c r="AX19" i="8"/>
  <c r="CV19" i="8"/>
  <c r="CZ19" i="8"/>
  <c r="DD19" i="8"/>
  <c r="I19" i="8"/>
  <c r="BC19" i="8"/>
  <c r="BT19" i="8"/>
  <c r="BX19" i="8"/>
  <c r="CD19" i="8"/>
  <c r="CI19" i="8"/>
  <c r="CM19" i="8"/>
  <c r="CQ19" i="8"/>
  <c r="DJ19" i="8"/>
  <c r="DN19" i="8"/>
  <c r="DR19" i="8"/>
  <c r="DV19" i="8"/>
  <c r="DZ19" i="8"/>
  <c r="EE19" i="8"/>
  <c r="CT19" i="8"/>
  <c r="DB19" i="8"/>
  <c r="BA19" i="8"/>
  <c r="BV19" i="8"/>
  <c r="CG19" i="8"/>
  <c r="CO19" i="8"/>
  <c r="DL19" i="8"/>
  <c r="DT19" i="8"/>
  <c r="EG19" i="8"/>
  <c r="CY19" i="8"/>
  <c r="DG19" i="8"/>
  <c r="H19" i="8"/>
  <c r="BF19" i="8"/>
  <c r="CC19" i="8"/>
  <c r="CL19" i="8"/>
  <c r="DM19" i="8"/>
  <c r="DU19" i="8"/>
  <c r="EH19" i="8"/>
  <c r="CS19" i="8"/>
  <c r="CW19" i="8"/>
  <c r="DA19" i="8"/>
  <c r="DE19" i="8"/>
  <c r="J19" i="8"/>
  <c r="BD19" i="8"/>
  <c r="BU19" i="8"/>
  <c r="CA19" i="8"/>
  <c r="CF19" i="8"/>
  <c r="CJ19" i="8"/>
  <c r="CN19" i="8"/>
  <c r="CR19" i="8"/>
  <c r="DK19" i="8"/>
  <c r="DO19" i="8"/>
  <c r="DS19" i="8"/>
  <c r="DW19" i="8"/>
  <c r="EA19" i="8"/>
  <c r="EF19" i="8"/>
  <c r="CX19" i="8"/>
  <c r="DF19" i="8"/>
  <c r="G19" i="8"/>
  <c r="BE19" i="8"/>
  <c r="CB19" i="8"/>
  <c r="CK19" i="8"/>
  <c r="DH19" i="8"/>
  <c r="DP19" i="8"/>
  <c r="DX19" i="8"/>
  <c r="EC19" i="8"/>
  <c r="CU19" i="8"/>
  <c r="DC19" i="8"/>
  <c r="BB19" i="8"/>
  <c r="BW19" i="8"/>
  <c r="CH19" i="8"/>
  <c r="CP19" i="8"/>
  <c r="DI19" i="8"/>
  <c r="DQ19" i="8"/>
  <c r="DY19" i="8"/>
  <c r="ED19" i="8"/>
  <c r="EJ18" i="8"/>
  <c r="F13" i="16"/>
  <c r="I13" i="16" s="1"/>
  <c r="J13" i="16" s="1"/>
  <c r="EJ41" i="8"/>
  <c r="F40" i="16"/>
  <c r="EI42" i="8"/>
  <c r="EI30" i="8"/>
  <c r="EI14" i="8"/>
  <c r="EI22" i="8"/>
  <c r="J40" i="3"/>
  <c r="J41" i="3"/>
  <c r="J65" i="11"/>
  <c r="J36" i="3" l="1"/>
  <c r="J35" i="3"/>
  <c r="J64" i="11"/>
  <c r="EJ14" i="8"/>
  <c r="F9" i="16"/>
  <c r="EJ30" i="8"/>
  <c r="F29" i="16"/>
  <c r="I29" i="16" s="1"/>
  <c r="J29" i="16" s="1"/>
  <c r="EJ42" i="8"/>
  <c r="EJ22" i="8"/>
  <c r="F17" i="16"/>
  <c r="EI19" i="8"/>
  <c r="J62" i="11" l="1"/>
  <c r="J61" i="11"/>
  <c r="I17" i="16"/>
  <c r="J17" i="16" s="1"/>
  <c r="F18" i="16"/>
  <c r="I18" i="16" s="1"/>
  <c r="J18" i="16" s="1"/>
  <c r="EJ19" i="8"/>
  <c r="F14" i="16"/>
  <c r="I14" i="16" s="1"/>
  <c r="J14" i="16" s="1"/>
  <c r="EI6" i="8" l="1"/>
  <c r="F16" i="8"/>
  <c r="F20" i="8"/>
  <c r="F21" i="8"/>
  <c r="F24" i="8"/>
  <c r="F31" i="8"/>
  <c r="F38" i="8"/>
  <c r="F39" i="8"/>
  <c r="AC39" i="8" l="1"/>
  <c r="BI39" i="8"/>
  <c r="BM39" i="8"/>
  <c r="BQ39" i="8"/>
  <c r="BL39" i="8"/>
  <c r="BJ39" i="8"/>
  <c r="BN39" i="8"/>
  <c r="BR39" i="8"/>
  <c r="BH39" i="8"/>
  <c r="BP39" i="8"/>
  <c r="BG39" i="8"/>
  <c r="BK39" i="8"/>
  <c r="BO39" i="8"/>
  <c r="BS39" i="8"/>
  <c r="CE39" i="8"/>
  <c r="BZ39" i="8"/>
  <c r="BY39" i="8"/>
  <c r="AI39" i="8"/>
  <c r="AV39" i="8"/>
  <c r="AC21" i="8"/>
  <c r="BH21" i="8"/>
  <c r="BL21" i="8"/>
  <c r="BP21" i="8"/>
  <c r="BG21" i="8"/>
  <c r="BO21" i="8"/>
  <c r="BI21" i="8"/>
  <c r="BM21" i="8"/>
  <c r="BQ21" i="8"/>
  <c r="BK21" i="8"/>
  <c r="BS21" i="8"/>
  <c r="BJ21" i="8"/>
  <c r="BN21" i="8"/>
  <c r="BR21" i="8"/>
  <c r="CE21" i="8"/>
  <c r="AV21" i="8"/>
  <c r="BY21" i="8"/>
  <c r="AI21" i="8"/>
  <c r="BZ21" i="8"/>
  <c r="AC24" i="8"/>
  <c r="BI24" i="8"/>
  <c r="BM24" i="8"/>
  <c r="BQ24" i="8"/>
  <c r="BL24" i="8"/>
  <c r="BJ24" i="8"/>
  <c r="BN24" i="8"/>
  <c r="BR24" i="8"/>
  <c r="BH24" i="8"/>
  <c r="BP24" i="8"/>
  <c r="BG24" i="8"/>
  <c r="BK24" i="8"/>
  <c r="BO24" i="8"/>
  <c r="BS24" i="8"/>
  <c r="CE24" i="8"/>
  <c r="BZ24" i="8"/>
  <c r="BY24" i="8"/>
  <c r="AI24" i="8"/>
  <c r="AV24" i="8"/>
  <c r="AC38" i="8"/>
  <c r="BJ38" i="8"/>
  <c r="BN38" i="8"/>
  <c r="BR38" i="8"/>
  <c r="BQ38" i="8"/>
  <c r="BG38" i="8"/>
  <c r="BK38" i="8"/>
  <c r="BO38" i="8"/>
  <c r="BS38" i="8"/>
  <c r="BI38" i="8"/>
  <c r="BM38" i="8"/>
  <c r="BH38" i="8"/>
  <c r="BL38" i="8"/>
  <c r="BP38" i="8"/>
  <c r="CE38" i="8"/>
  <c r="AI38" i="8"/>
  <c r="BY38" i="8"/>
  <c r="BZ38" i="8"/>
  <c r="AV38" i="8"/>
  <c r="AC20" i="8"/>
  <c r="BI20" i="8"/>
  <c r="BM20" i="8"/>
  <c r="BQ20" i="8"/>
  <c r="BH20" i="8"/>
  <c r="BL20" i="8"/>
  <c r="BJ20" i="8"/>
  <c r="BN20" i="8"/>
  <c r="BR20" i="8"/>
  <c r="BP20" i="8"/>
  <c r="BG20" i="8"/>
  <c r="BK20" i="8"/>
  <c r="BO20" i="8"/>
  <c r="BS20" i="8"/>
  <c r="CE20" i="8"/>
  <c r="BZ20" i="8"/>
  <c r="BY20" i="8"/>
  <c r="AI20" i="8"/>
  <c r="AV20" i="8"/>
  <c r="AC31" i="8"/>
  <c r="BH31" i="8"/>
  <c r="BL31" i="8"/>
  <c r="BP31" i="8"/>
  <c r="BG31" i="8"/>
  <c r="BO31" i="8"/>
  <c r="BS31" i="8"/>
  <c r="BI31" i="8"/>
  <c r="BM31" i="8"/>
  <c r="BQ31" i="8"/>
  <c r="BK31" i="8"/>
  <c r="BJ31" i="8"/>
  <c r="BN31" i="8"/>
  <c r="BR31" i="8"/>
  <c r="CE31" i="8"/>
  <c r="AV31" i="8"/>
  <c r="AI31" i="8"/>
  <c r="BY31" i="8"/>
  <c r="BZ31" i="8"/>
  <c r="AC16" i="8"/>
  <c r="BH16" i="8"/>
  <c r="BL16" i="8"/>
  <c r="BP16" i="8"/>
  <c r="BG16" i="8"/>
  <c r="BO16" i="8"/>
  <c r="BS16" i="8"/>
  <c r="BI16" i="8"/>
  <c r="BM16" i="8"/>
  <c r="BQ16" i="8"/>
  <c r="BK16" i="8"/>
  <c r="BJ16" i="8"/>
  <c r="BN16" i="8"/>
  <c r="BR16" i="8"/>
  <c r="CE16" i="8"/>
  <c r="AV16" i="8"/>
  <c r="AI16" i="8"/>
  <c r="BY16" i="8"/>
  <c r="BZ16" i="8"/>
  <c r="K38" i="8"/>
  <c r="O38" i="8"/>
  <c r="S38" i="8"/>
  <c r="W38" i="8"/>
  <c r="AA38" i="8"/>
  <c r="AF38" i="8"/>
  <c r="AK38" i="8"/>
  <c r="AO38" i="8"/>
  <c r="AS38" i="8"/>
  <c r="AX38" i="8"/>
  <c r="P38" i="8"/>
  <c r="U38" i="8"/>
  <c r="Z38" i="8"/>
  <c r="AG38" i="8"/>
  <c r="AM38" i="8"/>
  <c r="AR38" i="8"/>
  <c r="AY38" i="8"/>
  <c r="M38" i="8"/>
  <c r="R38" i="8"/>
  <c r="X38" i="8"/>
  <c r="AD38" i="8"/>
  <c r="AJ38" i="8"/>
  <c r="AP38" i="8"/>
  <c r="AU38" i="8"/>
  <c r="N38" i="8"/>
  <c r="Y38" i="8"/>
  <c r="AL38" i="8"/>
  <c r="AW38" i="8"/>
  <c r="Q38" i="8"/>
  <c r="AN38" i="8"/>
  <c r="T38" i="8"/>
  <c r="AE38" i="8"/>
  <c r="AQ38" i="8"/>
  <c r="L38" i="8"/>
  <c r="V38" i="8"/>
  <c r="AH38" i="8"/>
  <c r="AT38" i="8"/>
  <c r="AB38" i="8"/>
  <c r="AZ38" i="8"/>
  <c r="CV38" i="8"/>
  <c r="CZ38" i="8"/>
  <c r="DD38" i="8"/>
  <c r="CT38" i="8"/>
  <c r="CX38" i="8"/>
  <c r="DB38" i="8"/>
  <c r="DF38" i="8"/>
  <c r="G38" i="8"/>
  <c r="BA38" i="8"/>
  <c r="BE38" i="8"/>
  <c r="BV38" i="8"/>
  <c r="CB38" i="8"/>
  <c r="CG38" i="8"/>
  <c r="CK38" i="8"/>
  <c r="CO38" i="8"/>
  <c r="DH38" i="8"/>
  <c r="DL38" i="8"/>
  <c r="DP38" i="8"/>
  <c r="DT38" i="8"/>
  <c r="DX38" i="8"/>
  <c r="EC38" i="8"/>
  <c r="EG38" i="8"/>
  <c r="CS38" i="8"/>
  <c r="DA38" i="8"/>
  <c r="BF38" i="8"/>
  <c r="DK38" i="8"/>
  <c r="CW38" i="8"/>
  <c r="DE38" i="8"/>
  <c r="H38" i="8"/>
  <c r="BC38" i="8"/>
  <c r="BU38" i="8"/>
  <c r="CC38" i="8"/>
  <c r="CI38" i="8"/>
  <c r="CN38" i="8"/>
  <c r="DI38" i="8"/>
  <c r="DN38" i="8"/>
  <c r="DS38" i="8"/>
  <c r="DY38" i="8"/>
  <c r="EE38" i="8"/>
  <c r="CY38" i="8"/>
  <c r="DG38" i="8"/>
  <c r="I38" i="8"/>
  <c r="BD38" i="8"/>
  <c r="BW38" i="8"/>
  <c r="CD38" i="8"/>
  <c r="CJ38" i="8"/>
  <c r="CP38" i="8"/>
  <c r="DJ38" i="8"/>
  <c r="DO38" i="8"/>
  <c r="DU38" i="8"/>
  <c r="DZ38" i="8"/>
  <c r="EF38" i="8"/>
  <c r="J38" i="8"/>
  <c r="BX38" i="8"/>
  <c r="CF38" i="8"/>
  <c r="CL38" i="8"/>
  <c r="CQ38" i="8"/>
  <c r="DQ38" i="8"/>
  <c r="DV38" i="8"/>
  <c r="EA38" i="8"/>
  <c r="EH38" i="8"/>
  <c r="BT38" i="8"/>
  <c r="CR38" i="8"/>
  <c r="ED38" i="8"/>
  <c r="DM38" i="8"/>
  <c r="CU38" i="8"/>
  <c r="CH38" i="8"/>
  <c r="DR38" i="8"/>
  <c r="DC38" i="8"/>
  <c r="BB38" i="8"/>
  <c r="CM38" i="8"/>
  <c r="DW38" i="8"/>
  <c r="CA38" i="8"/>
  <c r="K20" i="8"/>
  <c r="O20" i="8"/>
  <c r="S20" i="8"/>
  <c r="W20" i="8"/>
  <c r="AA20" i="8"/>
  <c r="AF20" i="8"/>
  <c r="AK20" i="8"/>
  <c r="AO20" i="8"/>
  <c r="AS20" i="8"/>
  <c r="AX20" i="8"/>
  <c r="L20" i="8"/>
  <c r="Q20" i="8"/>
  <c r="V20" i="8"/>
  <c r="AB20" i="8"/>
  <c r="AH20" i="8"/>
  <c r="AN20" i="8"/>
  <c r="AT20" i="8"/>
  <c r="AZ20" i="8"/>
  <c r="N20" i="8"/>
  <c r="T20" i="8"/>
  <c r="Y20" i="8"/>
  <c r="AE20" i="8"/>
  <c r="AL20" i="8"/>
  <c r="AQ20" i="8"/>
  <c r="AW20" i="8"/>
  <c r="R20" i="8"/>
  <c r="AD20" i="8"/>
  <c r="AP20" i="8"/>
  <c r="U20" i="8"/>
  <c r="AG20" i="8"/>
  <c r="AR20" i="8"/>
  <c r="M20" i="8"/>
  <c r="X20" i="8"/>
  <c r="AJ20" i="8"/>
  <c r="AU20" i="8"/>
  <c r="P20" i="8"/>
  <c r="Z20" i="8"/>
  <c r="AM20" i="8"/>
  <c r="AY20" i="8"/>
  <c r="CV20" i="8"/>
  <c r="CZ20" i="8"/>
  <c r="DD20" i="8"/>
  <c r="H20" i="8"/>
  <c r="BB20" i="8"/>
  <c r="BF20" i="8"/>
  <c r="BW20" i="8"/>
  <c r="CC20" i="8"/>
  <c r="CH20" i="8"/>
  <c r="CL20" i="8"/>
  <c r="CP20" i="8"/>
  <c r="DI20" i="8"/>
  <c r="DM20" i="8"/>
  <c r="DQ20" i="8"/>
  <c r="DU20" i="8"/>
  <c r="DY20" i="8"/>
  <c r="ED20" i="8"/>
  <c r="EH20" i="8"/>
  <c r="CT20" i="8"/>
  <c r="CX20" i="8"/>
  <c r="DB20" i="8"/>
  <c r="DF20" i="8"/>
  <c r="J20" i="8"/>
  <c r="BD20" i="8"/>
  <c r="BU20" i="8"/>
  <c r="CA20" i="8"/>
  <c r="CF20" i="8"/>
  <c r="CJ20" i="8"/>
  <c r="CN20" i="8"/>
  <c r="CR20" i="8"/>
  <c r="DK20" i="8"/>
  <c r="DO20" i="8"/>
  <c r="DS20" i="8"/>
  <c r="DW20" i="8"/>
  <c r="EA20" i="8"/>
  <c r="EF20" i="8"/>
  <c r="CY20" i="8"/>
  <c r="DG20" i="8"/>
  <c r="BE20" i="8"/>
  <c r="CB20" i="8"/>
  <c r="DH20" i="8"/>
  <c r="EG20" i="8"/>
  <c r="CU20" i="8"/>
  <c r="DC20" i="8"/>
  <c r="BA20" i="8"/>
  <c r="BV20" i="8"/>
  <c r="CG20" i="8"/>
  <c r="CO20" i="8"/>
  <c r="DL20" i="8"/>
  <c r="DT20" i="8"/>
  <c r="EC20" i="8"/>
  <c r="CW20" i="8"/>
  <c r="DE20" i="8"/>
  <c r="BC20" i="8"/>
  <c r="BX20" i="8"/>
  <c r="CI20" i="8"/>
  <c r="CQ20" i="8"/>
  <c r="DN20" i="8"/>
  <c r="DV20" i="8"/>
  <c r="EE20" i="8"/>
  <c r="G20" i="8"/>
  <c r="CK20" i="8"/>
  <c r="DP20" i="8"/>
  <c r="DX20" i="8"/>
  <c r="CS20" i="8"/>
  <c r="BT20" i="8"/>
  <c r="DR20" i="8"/>
  <c r="DZ20" i="8"/>
  <c r="CM20" i="8"/>
  <c r="I20" i="8"/>
  <c r="DJ20" i="8"/>
  <c r="DA20" i="8"/>
  <c r="CD20" i="8"/>
  <c r="L39" i="8"/>
  <c r="P39" i="8"/>
  <c r="T39" i="8"/>
  <c r="X39" i="8"/>
  <c r="AB39" i="8"/>
  <c r="AG39" i="8"/>
  <c r="N39" i="8"/>
  <c r="S39" i="8"/>
  <c r="Y39" i="8"/>
  <c r="AE39" i="8"/>
  <c r="AK39" i="8"/>
  <c r="AO39" i="8"/>
  <c r="AS39" i="8"/>
  <c r="AX39" i="8"/>
  <c r="K39" i="8"/>
  <c r="Q39" i="8"/>
  <c r="V39" i="8"/>
  <c r="AA39" i="8"/>
  <c r="AH39" i="8"/>
  <c r="AM39" i="8"/>
  <c r="AQ39" i="8"/>
  <c r="AU39" i="8"/>
  <c r="AZ39" i="8"/>
  <c r="R39" i="8"/>
  <c r="AD39" i="8"/>
  <c r="AN39" i="8"/>
  <c r="AW39" i="8"/>
  <c r="U39" i="8"/>
  <c r="AP39" i="8"/>
  <c r="M39" i="8"/>
  <c r="W39" i="8"/>
  <c r="AJ39" i="8"/>
  <c r="AR39" i="8"/>
  <c r="O39" i="8"/>
  <c r="Z39" i="8"/>
  <c r="AL39" i="8"/>
  <c r="AT39" i="8"/>
  <c r="AF39" i="8"/>
  <c r="AY39" i="8"/>
  <c r="CS39" i="8"/>
  <c r="CW39" i="8"/>
  <c r="DA39" i="8"/>
  <c r="DE39" i="8"/>
  <c r="CU39" i="8"/>
  <c r="CY39" i="8"/>
  <c r="DC39" i="8"/>
  <c r="DG39" i="8"/>
  <c r="H39" i="8"/>
  <c r="BB39" i="8"/>
  <c r="BF39" i="8"/>
  <c r="BW39" i="8"/>
  <c r="CC39" i="8"/>
  <c r="CT39" i="8"/>
  <c r="DB39" i="8"/>
  <c r="J39" i="8"/>
  <c r="CJ39" i="8"/>
  <c r="DS39" i="8"/>
  <c r="CX39" i="8"/>
  <c r="DF39" i="8"/>
  <c r="G39" i="8"/>
  <c r="BC39" i="8"/>
  <c r="BU39" i="8"/>
  <c r="CB39" i="8"/>
  <c r="CH39" i="8"/>
  <c r="CL39" i="8"/>
  <c r="CP39" i="8"/>
  <c r="DI39" i="8"/>
  <c r="DM39" i="8"/>
  <c r="DQ39" i="8"/>
  <c r="DU39" i="8"/>
  <c r="DY39" i="8"/>
  <c r="ED39" i="8"/>
  <c r="EH39" i="8"/>
  <c r="CZ39" i="8"/>
  <c r="I39" i="8"/>
  <c r="BD39" i="8"/>
  <c r="BV39" i="8"/>
  <c r="CD39" i="8"/>
  <c r="CI39" i="8"/>
  <c r="CM39" i="8"/>
  <c r="CQ39" i="8"/>
  <c r="DJ39" i="8"/>
  <c r="DN39" i="8"/>
  <c r="DR39" i="8"/>
  <c r="DV39" i="8"/>
  <c r="DZ39" i="8"/>
  <c r="EE39" i="8"/>
  <c r="BE39" i="8"/>
  <c r="BX39" i="8"/>
  <c r="CF39" i="8"/>
  <c r="CN39" i="8"/>
  <c r="CR39" i="8"/>
  <c r="DK39" i="8"/>
  <c r="DO39" i="8"/>
  <c r="DW39" i="8"/>
  <c r="EA39" i="8"/>
  <c r="EF39" i="8"/>
  <c r="CV39" i="8"/>
  <c r="CA39" i="8"/>
  <c r="DH39" i="8"/>
  <c r="DX39" i="8"/>
  <c r="DD39" i="8"/>
  <c r="CG39" i="8"/>
  <c r="EC39" i="8"/>
  <c r="BA39" i="8"/>
  <c r="CK39" i="8"/>
  <c r="DP39" i="8"/>
  <c r="EG39" i="8"/>
  <c r="BT39" i="8"/>
  <c r="CO39" i="8"/>
  <c r="DT39" i="8"/>
  <c r="DL39" i="8"/>
  <c r="L21" i="8"/>
  <c r="P21" i="8"/>
  <c r="T21" i="8"/>
  <c r="X21" i="8"/>
  <c r="AB21" i="8"/>
  <c r="AG21" i="8"/>
  <c r="AL21" i="8"/>
  <c r="AP21" i="8"/>
  <c r="AT21" i="8"/>
  <c r="AY21" i="8"/>
  <c r="O21" i="8"/>
  <c r="U21" i="8"/>
  <c r="Z21" i="8"/>
  <c r="AF21" i="8"/>
  <c r="AM21" i="8"/>
  <c r="AR21" i="8"/>
  <c r="AX21" i="8"/>
  <c r="M21" i="8"/>
  <c r="R21" i="8"/>
  <c r="W21" i="8"/>
  <c r="AD21" i="8"/>
  <c r="AJ21" i="8"/>
  <c r="AO21" i="8"/>
  <c r="AU21" i="8"/>
  <c r="K21" i="8"/>
  <c r="V21" i="8"/>
  <c r="AH21" i="8"/>
  <c r="AS21" i="8"/>
  <c r="N21" i="8"/>
  <c r="Y21" i="8"/>
  <c r="AK21" i="8"/>
  <c r="AW21" i="8"/>
  <c r="Q21" i="8"/>
  <c r="AA21" i="8"/>
  <c r="AN21" i="8"/>
  <c r="AZ21" i="8"/>
  <c r="S21" i="8"/>
  <c r="AE21" i="8"/>
  <c r="AQ21" i="8"/>
  <c r="CS21" i="8"/>
  <c r="CW21" i="8"/>
  <c r="DA21" i="8"/>
  <c r="DE21" i="8"/>
  <c r="I21" i="8"/>
  <c r="BC21" i="8"/>
  <c r="BT21" i="8"/>
  <c r="BX21" i="8"/>
  <c r="CD21" i="8"/>
  <c r="CI21" i="8"/>
  <c r="CM21" i="8"/>
  <c r="CQ21" i="8"/>
  <c r="DJ21" i="8"/>
  <c r="DN21" i="8"/>
  <c r="DR21" i="8"/>
  <c r="DV21" i="8"/>
  <c r="DZ21" i="8"/>
  <c r="EE21" i="8"/>
  <c r="CU21" i="8"/>
  <c r="CY21" i="8"/>
  <c r="DC21" i="8"/>
  <c r="DG21" i="8"/>
  <c r="G21" i="8"/>
  <c r="BA21" i="8"/>
  <c r="BE21" i="8"/>
  <c r="BV21" i="8"/>
  <c r="CB21" i="8"/>
  <c r="CG21" i="8"/>
  <c r="CK21" i="8"/>
  <c r="CO21" i="8"/>
  <c r="DH21" i="8"/>
  <c r="DL21" i="8"/>
  <c r="DP21" i="8"/>
  <c r="DT21" i="8"/>
  <c r="DX21" i="8"/>
  <c r="EC21" i="8"/>
  <c r="EG21" i="8"/>
  <c r="CZ21" i="8"/>
  <c r="CH21" i="8"/>
  <c r="DU21" i="8"/>
  <c r="CV21" i="8"/>
  <c r="DD21" i="8"/>
  <c r="H21" i="8"/>
  <c r="BF21" i="8"/>
  <c r="CC21" i="8"/>
  <c r="CL21" i="8"/>
  <c r="DI21" i="8"/>
  <c r="DQ21" i="8"/>
  <c r="DY21" i="8"/>
  <c r="EH21" i="8"/>
  <c r="CX21" i="8"/>
  <c r="DF21" i="8"/>
  <c r="J21" i="8"/>
  <c r="BU21" i="8"/>
  <c r="CF21" i="8"/>
  <c r="CN21" i="8"/>
  <c r="DK21" i="8"/>
  <c r="DS21" i="8"/>
  <c r="EA21" i="8"/>
  <c r="BB21" i="8"/>
  <c r="BW21" i="8"/>
  <c r="CP21" i="8"/>
  <c r="DM21" i="8"/>
  <c r="ED21" i="8"/>
  <c r="CA21" i="8"/>
  <c r="DW21" i="8"/>
  <c r="EF21" i="8"/>
  <c r="CT21" i="8"/>
  <c r="CR21" i="8"/>
  <c r="DB21" i="8"/>
  <c r="BD21" i="8"/>
  <c r="DO21" i="8"/>
  <c r="CJ21" i="8"/>
  <c r="L31" i="8"/>
  <c r="P31" i="8"/>
  <c r="T31" i="8"/>
  <c r="X31" i="8"/>
  <c r="AB31" i="8"/>
  <c r="AG31" i="8"/>
  <c r="AL31" i="8"/>
  <c r="AP31" i="8"/>
  <c r="AT31" i="8"/>
  <c r="AY31" i="8"/>
  <c r="M31" i="8"/>
  <c r="R31" i="8"/>
  <c r="W31" i="8"/>
  <c r="AD31" i="8"/>
  <c r="AJ31" i="8"/>
  <c r="AO31" i="8"/>
  <c r="AU31" i="8"/>
  <c r="O31" i="8"/>
  <c r="U31" i="8"/>
  <c r="Z31" i="8"/>
  <c r="AF31" i="8"/>
  <c r="AM31" i="8"/>
  <c r="AR31" i="8"/>
  <c r="AX31" i="8"/>
  <c r="Q31" i="8"/>
  <c r="AA31" i="8"/>
  <c r="AN31" i="8"/>
  <c r="AZ31" i="8"/>
  <c r="S31" i="8"/>
  <c r="AE31" i="8"/>
  <c r="AQ31" i="8"/>
  <c r="K31" i="8"/>
  <c r="V31" i="8"/>
  <c r="AH31" i="8"/>
  <c r="AS31" i="8"/>
  <c r="N31" i="8"/>
  <c r="Y31" i="8"/>
  <c r="AK31" i="8"/>
  <c r="AW31" i="8"/>
  <c r="CS31" i="8"/>
  <c r="CW31" i="8"/>
  <c r="DA31" i="8"/>
  <c r="DE31" i="8"/>
  <c r="I31" i="8"/>
  <c r="BC31" i="8"/>
  <c r="BT31" i="8"/>
  <c r="BX31" i="8"/>
  <c r="CD31" i="8"/>
  <c r="CI31" i="8"/>
  <c r="CM31" i="8"/>
  <c r="CQ31" i="8"/>
  <c r="DJ31" i="8"/>
  <c r="DN31" i="8"/>
  <c r="DR31" i="8"/>
  <c r="DV31" i="8"/>
  <c r="DZ31" i="8"/>
  <c r="EE31" i="8"/>
  <c r="CU31" i="8"/>
  <c r="CY31" i="8"/>
  <c r="DC31" i="8"/>
  <c r="DG31" i="8"/>
  <c r="G31" i="8"/>
  <c r="BA31" i="8"/>
  <c r="BE31" i="8"/>
  <c r="BV31" i="8"/>
  <c r="CB31" i="8"/>
  <c r="CG31" i="8"/>
  <c r="CK31" i="8"/>
  <c r="CO31" i="8"/>
  <c r="DH31" i="8"/>
  <c r="DL31" i="8"/>
  <c r="DP31" i="8"/>
  <c r="DT31" i="8"/>
  <c r="DX31" i="8"/>
  <c r="EC31" i="8"/>
  <c r="EG31" i="8"/>
  <c r="CV31" i="8"/>
  <c r="DD31" i="8"/>
  <c r="BD31" i="8"/>
  <c r="CR31" i="8"/>
  <c r="DW31" i="8"/>
  <c r="CZ31" i="8"/>
  <c r="J31" i="8"/>
  <c r="BU31" i="8"/>
  <c r="CF31" i="8"/>
  <c r="CN31" i="8"/>
  <c r="DK31" i="8"/>
  <c r="DS31" i="8"/>
  <c r="EA31" i="8"/>
  <c r="CT31" i="8"/>
  <c r="DB31" i="8"/>
  <c r="BB31" i="8"/>
  <c r="BW31" i="8"/>
  <c r="CH31" i="8"/>
  <c r="CP31" i="8"/>
  <c r="DM31" i="8"/>
  <c r="DU31" i="8"/>
  <c r="ED31" i="8"/>
  <c r="CA31" i="8"/>
  <c r="CJ31" i="8"/>
  <c r="DO31" i="8"/>
  <c r="EF31" i="8"/>
  <c r="DF31" i="8"/>
  <c r="CL31" i="8"/>
  <c r="EH31" i="8"/>
  <c r="DI31" i="8"/>
  <c r="BF31" i="8"/>
  <c r="DQ31" i="8"/>
  <c r="CX31" i="8"/>
  <c r="CC31" i="8"/>
  <c r="DY31" i="8"/>
  <c r="H31" i="8"/>
  <c r="L16" i="8"/>
  <c r="P16" i="8"/>
  <c r="T16" i="8"/>
  <c r="X16" i="8"/>
  <c r="AB16" i="8"/>
  <c r="AG16" i="8"/>
  <c r="AL16" i="8"/>
  <c r="AP16" i="8"/>
  <c r="AT16" i="8"/>
  <c r="AY16" i="8"/>
  <c r="O16" i="8"/>
  <c r="U16" i="8"/>
  <c r="Z16" i="8"/>
  <c r="AF16" i="8"/>
  <c r="AM16" i="8"/>
  <c r="AR16" i="8"/>
  <c r="AX16" i="8"/>
  <c r="M16" i="8"/>
  <c r="R16" i="8"/>
  <c r="W16" i="8"/>
  <c r="AD16" i="8"/>
  <c r="AJ16" i="8"/>
  <c r="AO16" i="8"/>
  <c r="AU16" i="8"/>
  <c r="S16" i="8"/>
  <c r="AE16" i="8"/>
  <c r="AQ16" i="8"/>
  <c r="K16" i="8"/>
  <c r="V16" i="8"/>
  <c r="AH16" i="8"/>
  <c r="AS16" i="8"/>
  <c r="N16" i="8"/>
  <c r="Y16" i="8"/>
  <c r="AK16" i="8"/>
  <c r="AW16" i="8"/>
  <c r="Q16" i="8"/>
  <c r="AA16" i="8"/>
  <c r="AN16" i="8"/>
  <c r="AZ16" i="8"/>
  <c r="CS16" i="8"/>
  <c r="CW16" i="8"/>
  <c r="DA16" i="8"/>
  <c r="DE16" i="8"/>
  <c r="I16" i="8"/>
  <c r="BC16" i="8"/>
  <c r="BT16" i="8"/>
  <c r="BX16" i="8"/>
  <c r="CD16" i="8"/>
  <c r="CI16" i="8"/>
  <c r="CM16" i="8"/>
  <c r="CQ16" i="8"/>
  <c r="DJ16" i="8"/>
  <c r="DN16" i="8"/>
  <c r="DR16" i="8"/>
  <c r="DV16" i="8"/>
  <c r="DZ16" i="8"/>
  <c r="EE16" i="8"/>
  <c r="CU16" i="8"/>
  <c r="CY16" i="8"/>
  <c r="DC16" i="8"/>
  <c r="DG16" i="8"/>
  <c r="G16" i="8"/>
  <c r="BA16" i="8"/>
  <c r="BE16" i="8"/>
  <c r="BV16" i="8"/>
  <c r="CB16" i="8"/>
  <c r="CG16" i="8"/>
  <c r="CK16" i="8"/>
  <c r="CO16" i="8"/>
  <c r="DH16" i="8"/>
  <c r="DL16" i="8"/>
  <c r="DP16" i="8"/>
  <c r="DT16" i="8"/>
  <c r="DX16" i="8"/>
  <c r="EC16" i="8"/>
  <c r="EG16" i="8"/>
  <c r="CT16" i="8"/>
  <c r="DB16" i="8"/>
  <c r="BD16" i="8"/>
  <c r="CJ16" i="8"/>
  <c r="DW16" i="8"/>
  <c r="CX16" i="8"/>
  <c r="DF16" i="8"/>
  <c r="J16" i="8"/>
  <c r="BU16" i="8"/>
  <c r="CF16" i="8"/>
  <c r="CN16" i="8"/>
  <c r="DK16" i="8"/>
  <c r="DS16" i="8"/>
  <c r="EA16" i="8"/>
  <c r="CZ16" i="8"/>
  <c r="BB16" i="8"/>
  <c r="BW16" i="8"/>
  <c r="CH16" i="8"/>
  <c r="CP16" i="8"/>
  <c r="DM16" i="8"/>
  <c r="DU16" i="8"/>
  <c r="ED16" i="8"/>
  <c r="CA16" i="8"/>
  <c r="CR16" i="8"/>
  <c r="DO16" i="8"/>
  <c r="EF16" i="8"/>
  <c r="CV16" i="8"/>
  <c r="CL16" i="8"/>
  <c r="EH16" i="8"/>
  <c r="DI16" i="8"/>
  <c r="BF16" i="8"/>
  <c r="DQ16" i="8"/>
  <c r="CC16" i="8"/>
  <c r="DY16" i="8"/>
  <c r="DD16" i="8"/>
  <c r="H16" i="8"/>
  <c r="K24" i="8"/>
  <c r="O24" i="8"/>
  <c r="S24" i="8"/>
  <c r="W24" i="8"/>
  <c r="AA24" i="8"/>
  <c r="AF24" i="8"/>
  <c r="AK24" i="8"/>
  <c r="AO24" i="8"/>
  <c r="AS24" i="8"/>
  <c r="AX24" i="8"/>
  <c r="L24" i="8"/>
  <c r="Q24" i="8"/>
  <c r="V24" i="8"/>
  <c r="AB24" i="8"/>
  <c r="AH24" i="8"/>
  <c r="AN24" i="8"/>
  <c r="AT24" i="8"/>
  <c r="AZ24" i="8"/>
  <c r="N24" i="8"/>
  <c r="T24" i="8"/>
  <c r="Y24" i="8"/>
  <c r="AE24" i="8"/>
  <c r="AL24" i="8"/>
  <c r="AQ24" i="8"/>
  <c r="AW24" i="8"/>
  <c r="U24" i="8"/>
  <c r="AG24" i="8"/>
  <c r="AR24" i="8"/>
  <c r="M24" i="8"/>
  <c r="X24" i="8"/>
  <c r="AJ24" i="8"/>
  <c r="AU24" i="8"/>
  <c r="P24" i="8"/>
  <c r="Z24" i="8"/>
  <c r="AM24" i="8"/>
  <c r="AY24" i="8"/>
  <c r="R24" i="8"/>
  <c r="AD24" i="8"/>
  <c r="AP24" i="8"/>
  <c r="CV24" i="8"/>
  <c r="CZ24" i="8"/>
  <c r="DD24" i="8"/>
  <c r="H24" i="8"/>
  <c r="BB24" i="8"/>
  <c r="BF24" i="8"/>
  <c r="BW24" i="8"/>
  <c r="CC24" i="8"/>
  <c r="CH24" i="8"/>
  <c r="CL24" i="8"/>
  <c r="CP24" i="8"/>
  <c r="DI24" i="8"/>
  <c r="DM24" i="8"/>
  <c r="DQ24" i="8"/>
  <c r="DU24" i="8"/>
  <c r="DY24" i="8"/>
  <c r="ED24" i="8"/>
  <c r="EH24" i="8"/>
  <c r="CT24" i="8"/>
  <c r="CX24" i="8"/>
  <c r="DB24" i="8"/>
  <c r="DF24" i="8"/>
  <c r="J24" i="8"/>
  <c r="BD24" i="8"/>
  <c r="BU24" i="8"/>
  <c r="CA24" i="8"/>
  <c r="CF24" i="8"/>
  <c r="CJ24" i="8"/>
  <c r="CN24" i="8"/>
  <c r="CR24" i="8"/>
  <c r="DK24" i="8"/>
  <c r="DO24" i="8"/>
  <c r="DS24" i="8"/>
  <c r="DW24" i="8"/>
  <c r="EA24" i="8"/>
  <c r="EF24" i="8"/>
  <c r="CW24" i="8"/>
  <c r="DE24" i="8"/>
  <c r="BC24" i="8"/>
  <c r="CI24" i="8"/>
  <c r="CQ24" i="8"/>
  <c r="EE24" i="8"/>
  <c r="CS24" i="8"/>
  <c r="DA24" i="8"/>
  <c r="I24" i="8"/>
  <c r="BT24" i="8"/>
  <c r="CD24" i="8"/>
  <c r="CM24" i="8"/>
  <c r="DJ24" i="8"/>
  <c r="DR24" i="8"/>
  <c r="DZ24" i="8"/>
  <c r="CU24" i="8"/>
  <c r="DC24" i="8"/>
  <c r="BA24" i="8"/>
  <c r="BV24" i="8"/>
  <c r="CG24" i="8"/>
  <c r="CO24" i="8"/>
  <c r="DL24" i="8"/>
  <c r="DT24" i="8"/>
  <c r="EC24" i="8"/>
  <c r="BX24" i="8"/>
  <c r="DN24" i="8"/>
  <c r="DV24" i="8"/>
  <c r="G24" i="8"/>
  <c r="DH24" i="8"/>
  <c r="BE24" i="8"/>
  <c r="CY24" i="8"/>
  <c r="CB24" i="8"/>
  <c r="DX24" i="8"/>
  <c r="DG24" i="8"/>
  <c r="CK24" i="8"/>
  <c r="EG24" i="8"/>
  <c r="DP24" i="8"/>
  <c r="EI37" i="8"/>
  <c r="EI25" i="8"/>
  <c r="EI13" i="8"/>
  <c r="EI10" i="8"/>
  <c r="EI36" i="8"/>
  <c r="EI27" i="8"/>
  <c r="EI34" i="8"/>
  <c r="EI29" i="8"/>
  <c r="EI47" i="8"/>
  <c r="EI43" i="8"/>
  <c r="EI15" i="8"/>
  <c r="EI11" i="8"/>
  <c r="EI35" i="8"/>
  <c r="EI17" i="8"/>
  <c r="EI12" i="8"/>
  <c r="EI9" i="8"/>
  <c r="EI45" i="8"/>
  <c r="EI44" i="8"/>
  <c r="EI46" i="8"/>
  <c r="EI32" i="8"/>
  <c r="EI26" i="8"/>
  <c r="EI23" i="8"/>
  <c r="EJ13" i="8" l="1"/>
  <c r="F8" i="16"/>
  <c r="I8" i="16" s="1"/>
  <c r="J8" i="16" s="1"/>
  <c r="EJ32" i="8"/>
  <c r="F31" i="16"/>
  <c r="EJ26" i="8"/>
  <c r="F22" i="16"/>
  <c r="I22" i="16" s="1"/>
  <c r="J22" i="16" s="1"/>
  <c r="EJ12" i="8"/>
  <c r="F7" i="16"/>
  <c r="I7" i="16" s="1"/>
  <c r="J7" i="16" s="1"/>
  <c r="EJ17" i="8"/>
  <c r="F12" i="16"/>
  <c r="I12" i="16" s="1"/>
  <c r="J12" i="16" s="1"/>
  <c r="EJ43" i="8"/>
  <c r="F43" i="16"/>
  <c r="I43" i="16" s="1"/>
  <c r="J43" i="16" s="1"/>
  <c r="EJ29" i="8"/>
  <c r="F28" i="16"/>
  <c r="I28" i="16" s="1"/>
  <c r="EJ45" i="8"/>
  <c r="F45" i="16"/>
  <c r="I45" i="16" s="1"/>
  <c r="J45" i="16" s="1"/>
  <c r="EJ47" i="8"/>
  <c r="F47" i="16"/>
  <c r="I47" i="16" s="1"/>
  <c r="J47" i="16" s="1"/>
  <c r="EJ27" i="8"/>
  <c r="F23" i="16"/>
  <c r="I23" i="16" s="1"/>
  <c r="J23" i="16" s="1"/>
  <c r="EJ25" i="8"/>
  <c r="F21" i="16"/>
  <c r="I21" i="16" s="1"/>
  <c r="J21" i="16" s="1"/>
  <c r="EJ44" i="8"/>
  <c r="F44" i="16"/>
  <c r="I44" i="16" s="1"/>
  <c r="J44" i="16" s="1"/>
  <c r="EJ11" i="8"/>
  <c r="F6" i="16"/>
  <c r="I6" i="16" s="1"/>
  <c r="J6" i="16" s="1"/>
  <c r="EJ15" i="8"/>
  <c r="F10" i="16"/>
  <c r="I10" i="16" s="1"/>
  <c r="J10" i="16" s="1"/>
  <c r="EJ23" i="8"/>
  <c r="F19" i="16"/>
  <c r="I19" i="16" s="1"/>
  <c r="J19" i="16" s="1"/>
  <c r="EJ46" i="8"/>
  <c r="F46" i="16"/>
  <c r="I46" i="16" s="1"/>
  <c r="J46" i="16" s="1"/>
  <c r="EJ9" i="8"/>
  <c r="F4" i="16"/>
  <c r="I4" i="16" s="1"/>
  <c r="EJ35" i="8"/>
  <c r="F34" i="16"/>
  <c r="I34" i="16" s="1"/>
  <c r="J34" i="16" s="1"/>
  <c r="EJ34" i="8"/>
  <c r="F33" i="16"/>
  <c r="I33" i="16" s="1"/>
  <c r="J33" i="16" s="1"/>
  <c r="EJ36" i="8"/>
  <c r="F35" i="16"/>
  <c r="I35" i="16" s="1"/>
  <c r="J35" i="16" s="1"/>
  <c r="EJ10" i="8"/>
  <c r="F5" i="16"/>
  <c r="EJ37" i="8"/>
  <c r="F36" i="16"/>
  <c r="I36" i="16" s="1"/>
  <c r="J36" i="16" s="1"/>
  <c r="EI24" i="8"/>
  <c r="EI33" i="8"/>
  <c r="EI40" i="8"/>
  <c r="EI21" i="8"/>
  <c r="EI38" i="8"/>
  <c r="EI39" i="8"/>
  <c r="EI16" i="8"/>
  <c r="EI31" i="8"/>
  <c r="EI20" i="8"/>
  <c r="J28" i="16" l="1"/>
  <c r="I5" i="16"/>
  <c r="J5" i="16" s="1"/>
  <c r="J4" i="16"/>
  <c r="EJ31" i="8"/>
  <c r="F30" i="16"/>
  <c r="I30" i="16" s="1"/>
  <c r="J30" i="16" s="1"/>
  <c r="EJ16" i="8"/>
  <c r="F11" i="16"/>
  <c r="I11" i="16" s="1"/>
  <c r="J11" i="16" s="1"/>
  <c r="EJ40" i="8"/>
  <c r="F39" i="16"/>
  <c r="I39" i="16" s="1"/>
  <c r="J39" i="16" s="1"/>
  <c r="EJ39" i="8"/>
  <c r="F38" i="16"/>
  <c r="I38" i="16" s="1"/>
  <c r="J38" i="16" s="1"/>
  <c r="EJ33" i="8"/>
  <c r="F32" i="16"/>
  <c r="I32" i="16" s="1"/>
  <c r="J32" i="16" s="1"/>
  <c r="EJ21" i="8"/>
  <c r="F16" i="16"/>
  <c r="I16" i="16" s="1"/>
  <c r="J16" i="16" s="1"/>
  <c r="EJ20" i="8"/>
  <c r="F15" i="16"/>
  <c r="I15" i="16" s="1"/>
  <c r="J15" i="16" s="1"/>
  <c r="EJ38" i="8"/>
  <c r="F37" i="16"/>
  <c r="I37" i="16" s="1"/>
  <c r="J37" i="16" s="1"/>
  <c r="EJ24" i="8"/>
  <c r="F20" i="16"/>
  <c r="I20" i="16" s="1"/>
  <c r="J20" i="16" s="1"/>
  <c r="I48" i="16" l="1"/>
  <c r="I49" i="16" s="1"/>
  <c r="J48" i="16"/>
  <c r="J49" i="16" s="1"/>
  <c r="I24" i="16"/>
  <c r="I25" i="16" s="1"/>
  <c r="J24" i="16"/>
  <c r="J25" i="16" s="1"/>
  <c r="J43" i="3" l="1"/>
  <c r="J8" i="19" l="1"/>
  <c r="J14" i="19" s="1"/>
  <c r="Q7" i="19" s="1"/>
  <c r="Q9" i="19" s="1"/>
  <c r="Q10" i="19" s="1"/>
  <c r="Q12" i="19" s="1"/>
  <c r="J28" i="2" l="1"/>
  <c r="I30" i="2" l="1"/>
  <c r="I32" i="2" s="1"/>
  <c r="E80" i="3"/>
</calcChain>
</file>

<file path=xl/sharedStrings.xml><?xml version="1.0" encoding="utf-8"?>
<sst xmlns="http://schemas.openxmlformats.org/spreadsheetml/2006/main" count="4913" uniqueCount="1169">
  <si>
    <t>גבינה צהובה</t>
  </si>
  <si>
    <t>וופלים 200'</t>
  </si>
  <si>
    <t>מלפפון</t>
  </si>
  <si>
    <t>עגבניה</t>
  </si>
  <si>
    <t>טונה גדול</t>
  </si>
  <si>
    <t>מלפפון חמוץ</t>
  </si>
  <si>
    <t>יח'</t>
  </si>
  <si>
    <t xml:space="preserve">תירס </t>
  </si>
  <si>
    <t>ק"ג</t>
  </si>
  <si>
    <t>כמות</t>
  </si>
  <si>
    <t>מפתח</t>
  </si>
  <si>
    <t>חלווה</t>
  </si>
  <si>
    <t>קוטג'</t>
  </si>
  <si>
    <t>סוכר</t>
  </si>
  <si>
    <t>תה</t>
  </si>
  <si>
    <t>פתי בר</t>
  </si>
  <si>
    <t>מוצר</t>
  </si>
  <si>
    <t>שניצל</t>
  </si>
  <si>
    <t>המבורגר</t>
  </si>
  <si>
    <t>נקניקיות</t>
  </si>
  <si>
    <t>אורז</t>
  </si>
  <si>
    <t>בצל</t>
  </si>
  <si>
    <t>סה"כ</t>
  </si>
  <si>
    <t>לחם פרוס אחיד</t>
  </si>
  <si>
    <t>ליטר</t>
  </si>
  <si>
    <t>שמן</t>
  </si>
  <si>
    <t>פתיתים</t>
  </si>
  <si>
    <t>פסטה</t>
  </si>
  <si>
    <t>צלחת אוכל קר</t>
  </si>
  <si>
    <t>צלחת אוכל חם</t>
  </si>
  <si>
    <t>כוס שתיה קרה</t>
  </si>
  <si>
    <t>כוס שתיה חמה</t>
  </si>
  <si>
    <t>סכין</t>
  </si>
  <si>
    <t>מזלג</t>
  </si>
  <si>
    <t>שקית זבל</t>
  </si>
  <si>
    <t>שקית גופיה</t>
  </si>
  <si>
    <t>כמות אוכלים</t>
  </si>
  <si>
    <t>נייר סופג</t>
  </si>
  <si>
    <t>שקית שוקו</t>
  </si>
  <si>
    <t>זיתים A2</t>
  </si>
  <si>
    <t>רוטב לפסטה A9</t>
  </si>
  <si>
    <t>טחינה</t>
  </si>
  <si>
    <t>הערות</t>
  </si>
  <si>
    <t>2 ק"ג</t>
  </si>
  <si>
    <t>500 גרם</t>
  </si>
  <si>
    <t>ממרח שוקולד חלבי</t>
  </si>
  <si>
    <t>יח' (תיון)</t>
  </si>
  <si>
    <t>גודל אריזה</t>
  </si>
  <si>
    <t>גבינה לבנה</t>
  </si>
  <si>
    <t>250 גרם</t>
  </si>
  <si>
    <t>250גרם</t>
  </si>
  <si>
    <t>A2</t>
  </si>
  <si>
    <t>500גרם</t>
  </si>
  <si>
    <t>נקניק יבש</t>
  </si>
  <si>
    <t>400גרם</t>
  </si>
  <si>
    <t>A9</t>
  </si>
  <si>
    <t>לחמנייה</t>
  </si>
  <si>
    <t>תירס</t>
  </si>
  <si>
    <t>ממרח שוקולד פרווה</t>
  </si>
  <si>
    <t xml:space="preserve">גודל אריזה </t>
  </si>
  <si>
    <t>400 גרם</t>
  </si>
  <si>
    <t>10 ק"ג</t>
  </si>
  <si>
    <t>200 גרם</t>
  </si>
  <si>
    <t>20 יח' * 70 גרם</t>
  </si>
  <si>
    <t>800 גרם</t>
  </si>
  <si>
    <t>250 ק"ג</t>
  </si>
  <si>
    <t>וופלים</t>
  </si>
  <si>
    <t>כוס שתייה חמה</t>
  </si>
  <si>
    <t>עגבנייה</t>
  </si>
  <si>
    <t>פלפל אדום</t>
  </si>
  <si>
    <t>שוקו</t>
  </si>
  <si>
    <t>שמנת של פעם</t>
  </si>
  <si>
    <t>שקית גופיה (לפריסה)</t>
  </si>
  <si>
    <t>מנה צמחונית צהריים</t>
  </si>
  <si>
    <t>מעדן שוקו\וניל</t>
  </si>
  <si>
    <t>שקית גופיה (לקיט)</t>
  </si>
  <si>
    <t>לקטוז\טבעוני</t>
  </si>
  <si>
    <t>צליאק</t>
  </si>
  <si>
    <t>מעדן סויה</t>
  </si>
  <si>
    <t>לחמניית צליאק</t>
  </si>
  <si>
    <t>חב' פריכיות (4יח')</t>
  </si>
  <si>
    <t xml:space="preserve">פריכיות </t>
  </si>
  <si>
    <t xml:space="preserve">חב' </t>
  </si>
  <si>
    <t>נקניק טרי</t>
  </si>
  <si>
    <t>240 גרם</t>
  </si>
  <si>
    <t>גבינה מותכת (16 יח')</t>
  </si>
  <si>
    <t>טבעוני\לקטוז</t>
  </si>
  <si>
    <t>זיתים</t>
  </si>
  <si>
    <t>טונה קטן</t>
  </si>
  <si>
    <t>160 גרם</t>
  </si>
  <si>
    <t xml:space="preserve">פסטרמה טריה </t>
  </si>
  <si>
    <t xml:space="preserve">שוקולד פרווה </t>
  </si>
  <si>
    <t>-</t>
  </si>
  <si>
    <t>מארז 2יח</t>
  </si>
  <si>
    <t>טחינה גולמית</t>
  </si>
  <si>
    <t>קיט ישיבות</t>
  </si>
  <si>
    <t>קוקה קולה</t>
  </si>
  <si>
    <t>1.5ליטר</t>
  </si>
  <si>
    <t>משקה קל טמפו ענבים\תפוזים</t>
  </si>
  <si>
    <t>במבה</t>
  </si>
  <si>
    <t>עוגה הבית</t>
  </si>
  <si>
    <t>80 גרם</t>
  </si>
  <si>
    <t>קבלת שבת</t>
  </si>
  <si>
    <t>1ליטר</t>
  </si>
  <si>
    <t>תירוש</t>
  </si>
  <si>
    <t>חלה</t>
  </si>
  <si>
    <t>מלח</t>
  </si>
  <si>
    <t>שניצל תירס</t>
  </si>
  <si>
    <t>נקניקיות צימחיות</t>
  </si>
  <si>
    <t>שניצל צמחי</t>
  </si>
  <si>
    <t>המבורגר פטריות</t>
  </si>
  <si>
    <t>לטקס תפו"א</t>
  </si>
  <si>
    <t>מנה צליאק</t>
  </si>
  <si>
    <t>שווארמה</t>
  </si>
  <si>
    <t>טבעות עוף</t>
  </si>
  <si>
    <t>פלפל שחור</t>
  </si>
  <si>
    <t>עם כמון</t>
  </si>
  <si>
    <t>בלי כמון</t>
  </si>
  <si>
    <t>עם חוויאג' למרק</t>
  </si>
  <si>
    <t>עם פפריקה מתוקה</t>
  </si>
  <si>
    <t>בלי פפריקה מתוקה</t>
  </si>
  <si>
    <t>בלי חוויאג' למרק</t>
  </si>
  <si>
    <t>פריסה במקום</t>
  </si>
  <si>
    <t>סנדוויצים לדרך</t>
  </si>
  <si>
    <t>שקיות סנדוויץ</t>
  </si>
  <si>
    <t>שקיות  סנדוויץ</t>
  </si>
  <si>
    <t>לימון משומר</t>
  </si>
  <si>
    <t>פלאפל</t>
  </si>
  <si>
    <t>קוסקוס</t>
  </si>
  <si>
    <t>צ'יפס מטוגן</t>
  </si>
  <si>
    <t xml:space="preserve">אפונה </t>
  </si>
  <si>
    <t>אפונה וגזר A9</t>
  </si>
  <si>
    <t>קטשופ</t>
  </si>
  <si>
    <t>750 גרם</t>
  </si>
  <si>
    <t>1 ק"ג</t>
  </si>
  <si>
    <t>5 ק"ג</t>
  </si>
  <si>
    <t>5ק"ג</t>
  </si>
  <si>
    <t>חב' 6 יח'</t>
  </si>
  <si>
    <t>חב' 2 ק"ג</t>
  </si>
  <si>
    <t xml:space="preserve"> ק"ג</t>
  </si>
  <si>
    <t xml:space="preserve">שקית זבל </t>
  </si>
  <si>
    <t>צהרים</t>
  </si>
  <si>
    <t xml:space="preserve">שקיות גופייה </t>
  </si>
  <si>
    <t xml:space="preserve">סכין חד פעמי </t>
  </si>
  <si>
    <t xml:space="preserve">מזלג חד פעמי </t>
  </si>
  <si>
    <t>צלחת חד פעמית קר</t>
  </si>
  <si>
    <t xml:space="preserve">1ל-30 </t>
  </si>
  <si>
    <t>1ל-3</t>
  </si>
  <si>
    <t>מלפפון יח</t>
  </si>
  <si>
    <t xml:space="preserve">1ל-3 </t>
  </si>
  <si>
    <t>עגבניה יח</t>
  </si>
  <si>
    <t xml:space="preserve">1ל-20 </t>
  </si>
  <si>
    <t>שוקולד השחר (פרווה) 500 ג'</t>
  </si>
  <si>
    <t>1ל-6</t>
  </si>
  <si>
    <t xml:space="preserve">תירס 330 גרם </t>
  </si>
  <si>
    <t>1ל-10</t>
  </si>
  <si>
    <t xml:space="preserve">מלפפון חמוץ במלח 330 גרם </t>
  </si>
  <si>
    <t>1ל15</t>
  </si>
  <si>
    <t xml:space="preserve">נקניק יבש – 800 גרם </t>
  </si>
  <si>
    <t xml:space="preserve">לחם פרוס </t>
  </si>
  <si>
    <t>בוקר</t>
  </si>
  <si>
    <t>שוקולד השחר (חלבי) 500ג'</t>
  </si>
  <si>
    <t>זיתים 330 ג'</t>
  </si>
  <si>
    <t>1ל-לקטוז\טבעוני</t>
  </si>
  <si>
    <t>מעדן סויה (שוקו\וניל)</t>
  </si>
  <si>
    <t xml:space="preserve">1 לאדם </t>
  </si>
  <si>
    <t xml:space="preserve">1ל-7 </t>
  </si>
  <si>
    <t xml:space="preserve">1ל-5 </t>
  </si>
  <si>
    <t>קוטג' 250 ג'</t>
  </si>
  <si>
    <t xml:space="preserve">1.5 לאדם </t>
  </si>
  <si>
    <t>לחמניה 75 ג' דוידוביץ</t>
  </si>
  <si>
    <t>פרודוקטים</t>
  </si>
  <si>
    <t>ארוחה</t>
  </si>
  <si>
    <t>מס טבעוניים\לקטוז</t>
  </si>
  <si>
    <t>מספר קבוצה</t>
  </si>
  <si>
    <t>שם מדריך</t>
  </si>
  <si>
    <t>כמות א.בוקר</t>
  </si>
  <si>
    <t>כמות א.צהריים</t>
  </si>
  <si>
    <t>סך כל הימים</t>
  </si>
  <si>
    <t>מק"ט</t>
  </si>
  <si>
    <t>CustCode:</t>
  </si>
  <si>
    <t>עלות</t>
  </si>
  <si>
    <t>מחיר לקוח</t>
  </si>
  <si>
    <t>%גולמי</t>
  </si>
  <si>
    <t>יח' לקוח</t>
  </si>
  <si>
    <t>מחלקה</t>
  </si>
  <si>
    <t>בשר בקר טחון</t>
  </si>
  <si>
    <t>בשר</t>
  </si>
  <si>
    <t>חזה עוף שלם</t>
  </si>
  <si>
    <t>כרעיים עוף ארוז</t>
  </si>
  <si>
    <t>נקניק סלמי 400 גרם</t>
  </si>
  <si>
    <t>יחידה</t>
  </si>
  <si>
    <t>נקניק סלמי יבש 600 גרם</t>
  </si>
  <si>
    <t>נקניק סלמי פיין יבש 800 ג' (יחיעם)</t>
  </si>
  <si>
    <t>איש קשר:</t>
  </si>
  <si>
    <t>סה"כ לפני מע"מ</t>
  </si>
  <si>
    <t>נקניק סלמי פרוס 1 ק"ג</t>
  </si>
  <si>
    <t>טפלון:</t>
  </si>
  <si>
    <t>מע"מ</t>
  </si>
  <si>
    <t>נקניק פסטרמה 400 גרם</t>
  </si>
  <si>
    <t>תאריך הספקה:</t>
  </si>
  <si>
    <t>סה"כ  מע"מ</t>
  </si>
  <si>
    <t>נקניק פסטרמה פרוס 1 ק"ג</t>
  </si>
  <si>
    <t>חלון שעות:</t>
  </si>
  <si>
    <t>סה"כ כולל מע"מ</t>
  </si>
  <si>
    <t>עוף מס' 1</t>
  </si>
  <si>
    <t>מיקום:</t>
  </si>
  <si>
    <t>סה"כ ללא מע"מ</t>
  </si>
  <si>
    <t>שניצל עוף פרוס גולמי</t>
  </si>
  <si>
    <t xml:space="preserve">סה"כ להזמנה </t>
  </si>
  <si>
    <t>גבינה לבנה %5 1/2 ק"ג</t>
  </si>
  <si>
    <t>מקרר</t>
  </si>
  <si>
    <t>גבינה לבנה %5 2 ק"ג - שטראוס</t>
  </si>
  <si>
    <t>גבינה לבנה %5 250 ג' - שטראוס</t>
  </si>
  <si>
    <t>גבינה לבנה %5 250 גרם</t>
  </si>
  <si>
    <t>גבינה צפתית 200 גרם</t>
  </si>
  <si>
    <t>גבינת גלבוע פרוס 200 גרם</t>
  </si>
  <si>
    <t>גבינת עמק פרוס מעדניה 400 גרם</t>
  </si>
  <si>
    <t>גבינת פרומעז 200 גרם</t>
  </si>
  <si>
    <t>גבינת קוטג' %5 2 ק"ג - שטראוס</t>
  </si>
  <si>
    <t>גבינת קוטג' %5 250 גרם</t>
  </si>
  <si>
    <t>גבינת קוטג' 250 ג' - שטראוס</t>
  </si>
  <si>
    <t>חלב 1 ליטר %3 בקרטון - שטראוס</t>
  </si>
  <si>
    <t>חלב 1 ליטר %3 בקרטון</t>
  </si>
  <si>
    <t>חלב סויה 1 ליטר</t>
  </si>
  <si>
    <t>יוגורט 1.5 ליטר</t>
  </si>
  <si>
    <t>לאבנה 1 ק"ג 9%</t>
  </si>
  <si>
    <t>מעדן דני שוקו 125 מל"ל - שטראוס</t>
  </si>
  <si>
    <t>מעדן קרלו וניל 125 מל"ל</t>
  </si>
  <si>
    <t>מעדן קרלו שוקו 125 מל"ל</t>
  </si>
  <si>
    <t>מעדני סויה טבעי (2 יח' )</t>
  </si>
  <si>
    <t>מארז</t>
  </si>
  <si>
    <t>מעדני סויה שוקולד/וניל (2 יח') .</t>
  </si>
  <si>
    <t>סחוג אדום 3 ק"ג</t>
  </si>
  <si>
    <t>סלט חומוס 1 ק"ג</t>
  </si>
  <si>
    <t>סלט חומוס 3 ק"ג</t>
  </si>
  <si>
    <t>סלט חציל במיונז 3 ק"ג</t>
  </si>
  <si>
    <t>סלט כרוב אדום במיונז 3 ק"ג</t>
  </si>
  <si>
    <t>סלט מטבוחה 3 ק"ג</t>
  </si>
  <si>
    <t>סלט מטבוחה מ.א. 120 יח'</t>
  </si>
  <si>
    <t>קרטון</t>
  </si>
  <si>
    <t>שוקו בשקית (8 יח') - שטראוס</t>
  </si>
  <si>
    <t>ביצה M - מארז 12 יחידות</t>
  </si>
  <si>
    <t>ביצה M - מארז 30 יחידות</t>
  </si>
  <si>
    <t>א. מרק בול טעם עוף אוסם</t>
  </si>
  <si>
    <t>יבשים</t>
  </si>
  <si>
    <t>א. מרק בול טעם פיטריות אוסם</t>
  </si>
  <si>
    <t>אבקת שוקו 1 ק"ג‏</t>
  </si>
  <si>
    <t>אגוזי מלך 1 ק"ג</t>
  </si>
  <si>
    <t>אורז 1 ק"ג</t>
  </si>
  <si>
    <t>אפונה וגזר משומר - A9</t>
  </si>
  <si>
    <t>אפונה יבשה 1 ק"ג</t>
  </si>
  <si>
    <t>אפונה משומרת - A9</t>
  </si>
  <si>
    <t>אפונה משומרת A2</t>
  </si>
  <si>
    <t>ביגלה 350/400/500 גרם</t>
  </si>
  <si>
    <t>ביסלי 200 גר (24 יח) אוסם</t>
  </si>
  <si>
    <t>במבה 20 ג'  (64 יח)</t>
  </si>
  <si>
    <t>במבה 25 ג' - שוש</t>
  </si>
  <si>
    <t>במבה 80 גרם</t>
  </si>
  <si>
    <t>גראנולה 1 ק"ג</t>
  </si>
  <si>
    <t>גריסים 1 ק"ג</t>
  </si>
  <si>
    <t>דבש 1 ק"ג</t>
  </si>
  <si>
    <t>וופל קיבוצים 200 גרם</t>
  </si>
  <si>
    <t>זיתים חרוזית ירוק - A10</t>
  </si>
  <si>
    <t>זיתים חרוזית שחור - A10</t>
  </si>
  <si>
    <t>זיתים ירוקים - A2</t>
  </si>
  <si>
    <t>חוואיג' למרק 1 ק"ג</t>
  </si>
  <si>
    <t>חומוס גרעינים משומר A2</t>
  </si>
  <si>
    <t>חומץ 1 ליטר</t>
  </si>
  <si>
    <t>חלבה 100 גרם (20יח).</t>
  </si>
  <si>
    <t>חלבה 70 ג'- 20 יח'</t>
  </si>
  <si>
    <t>חמאת בוטנים 500 גרם</t>
  </si>
  <si>
    <t>חרדל 550 ג' - לחיץ</t>
  </si>
  <si>
    <t>טונה בפאוץ' 1 ק"ג</t>
  </si>
  <si>
    <t>טונה בפאוץ 700 ג'</t>
  </si>
  <si>
    <t>טונה בשמן 160 גרם</t>
  </si>
  <si>
    <t>טונה בשמן מוסדי</t>
  </si>
  <si>
    <t>טחינה גולמית 500 גרם</t>
  </si>
  <si>
    <t>כמון 1 ק"ג</t>
  </si>
  <si>
    <t>כרוב כבוש - A10</t>
  </si>
  <si>
    <t>לימון משומר 1 ליטר</t>
  </si>
  <si>
    <t>לימון משומר 4 ליטר</t>
  </si>
  <si>
    <t>ליפתן קוקטיל טרופי - A9</t>
  </si>
  <si>
    <t>מיונז 1 ק"ג - תלמה</t>
  </si>
  <si>
    <t>מים מינרלים 1.5 ליטר</t>
  </si>
  <si>
    <t>מים מינרלים 500 מל"ל</t>
  </si>
  <si>
    <t>מיץ ענבים 750 מל"ל‏</t>
  </si>
  <si>
    <t>מיץ ענבים תירוש 750</t>
  </si>
  <si>
    <t>מלח גביש 1 ק"ג‏</t>
  </si>
  <si>
    <t>מלח שולחן 1 ק"ג</t>
  </si>
  <si>
    <t>מלפפון במלח - A10</t>
  </si>
  <si>
    <t>מלפפון במלח - A2</t>
  </si>
  <si>
    <t>ממרח שוקולד 400 גרם</t>
  </si>
  <si>
    <t>ממרח שוקולד חלבי 500 ג'- השחר</t>
  </si>
  <si>
    <t>ממרח שוקולד פרווה 400 ג'- השחר</t>
  </si>
  <si>
    <t>מרשמלו 100 גר(20 יח)</t>
  </si>
  <si>
    <t>משקה קוקה קולה 1.5 ליטר</t>
  </si>
  <si>
    <t>משקה קל 1.5 ליטר - טמפו</t>
  </si>
  <si>
    <t>סוכר 1 ק"ג‏</t>
  </si>
  <si>
    <t>סוכריות טופי 850 גרם</t>
  </si>
  <si>
    <t>סולת 1 ק"ג</t>
  </si>
  <si>
    <t>סירופ 4 ליטר</t>
  </si>
  <si>
    <t>עגבניות מרוסקות - A10</t>
  </si>
  <si>
    <t>עדשים אדומים 1 ק"ג</t>
  </si>
  <si>
    <t>עדשים ירוקים 1 ק"ג</t>
  </si>
  <si>
    <t>עוגה מ.א (50) - וניל</t>
  </si>
  <si>
    <t>עוגה מ.א (50) - מש</t>
  </si>
  <si>
    <t>עוגה מ.א (50) - שוקו צ'יפס</t>
  </si>
  <si>
    <t>עוגה מ.א (50) - תפוז</t>
  </si>
  <si>
    <t>עוגה מוכנה 350 גרם</t>
  </si>
  <si>
    <t>עוגיות 500 גרם</t>
  </si>
  <si>
    <t>עלי גפן ממולאים בקופסא</t>
  </si>
  <si>
    <t>פופקורן 500 גרם</t>
  </si>
  <si>
    <t>פיטריות חתוכות - A9</t>
  </si>
  <si>
    <t>פירכיות אורז</t>
  </si>
  <si>
    <t>פלפל שחור גרוס 1 ק"ג</t>
  </si>
  <si>
    <t>פלפל שחור טחון 1 ק"ג</t>
  </si>
  <si>
    <t>פסטה ייבוא מסולסלים - 500 גרם</t>
  </si>
  <si>
    <t>פסטה ייבוא מסולסלים 5 ק"ג</t>
  </si>
  <si>
    <t>פסטה ייבוא ספגטי 500 גרם</t>
  </si>
  <si>
    <t>פסטה ייבוא קרניים - 5 ק"ג</t>
  </si>
  <si>
    <t>פסטה ייבוא קרניים - 500 גרם</t>
  </si>
  <si>
    <t>פפריקה מתוקה 1 ק"ג</t>
  </si>
  <si>
    <t>פתיבר</t>
  </si>
  <si>
    <t>פתיתים אפויים בן-גוריון 500 ג</t>
  </si>
  <si>
    <t>פתיתים אפויים בן גוריון 10 ק"ג</t>
  </si>
  <si>
    <t>שק</t>
  </si>
  <si>
    <t>קוסקוס 1 ק"ג</t>
  </si>
  <si>
    <t>קוסקוס 5 ק"ג (15442008) - ייבוא</t>
  </si>
  <si>
    <t>קורנפלור 1 ק"ג</t>
  </si>
  <si>
    <t>קורנפלקס 750 גרם - תלמה</t>
  </si>
  <si>
    <t>קורנפלקס כריות 750 גרם</t>
  </si>
  <si>
    <t>קטשופ לחיץ 750 גרם - מתוק</t>
  </si>
  <si>
    <t>קטשופ מ.א. 1000 יח' בקרטון - אוסם</t>
  </si>
  <si>
    <t>קטשופ מ.א. 1000 יח' בקרטון</t>
  </si>
  <si>
    <t>קמח 1 ק"ג‏</t>
  </si>
  <si>
    <t>קפה טורקי 1 ק"ג - לנדוור</t>
  </si>
  <si>
    <t>קפה טורקי 100 גרם (עלית)‏</t>
  </si>
  <si>
    <t>קפה טורקי בואקום 1 ק"ג - עלית</t>
  </si>
  <si>
    <t>קפה נמס 200 גרם (עלית)‏</t>
  </si>
  <si>
    <t>קפה נמס ארומה 200 גרם</t>
  </si>
  <si>
    <t>קקאו 1 ק"ג</t>
  </si>
  <si>
    <t>רוטב סויה 4 ליטר</t>
  </si>
  <si>
    <t>רוטב עגבניות - A9</t>
  </si>
  <si>
    <t>רוטב עגבניות פיקנטי - A10</t>
  </si>
  <si>
    <t>רוטב פיצה - A-9</t>
  </si>
  <si>
    <t>רוטב צ'ילי מתוק 4 ליטר - מיטב</t>
  </si>
  <si>
    <t>ריבה 800 גרם</t>
  </si>
  <si>
    <t>ריבה מ.א. 120 יח</t>
  </si>
  <si>
    <t>רסק עגבניות %28 - A2</t>
  </si>
  <si>
    <t>רסק עגבניות %28 - A9</t>
  </si>
  <si>
    <t>שוקולד חלב 100 גרם</t>
  </si>
  <si>
    <t>שמן זית 1 ליטר</t>
  </si>
  <si>
    <t>שמן קנולה 1 ליטר</t>
  </si>
  <si>
    <t>שעועית לבנה אפויה - A2</t>
  </si>
  <si>
    <t>שקדי מרק 1 ק"ג</t>
  </si>
  <si>
    <t>תה 2000 - 100 יח' במארז</t>
  </si>
  <si>
    <t>חבילה</t>
  </si>
  <si>
    <t>תה 2000 יח' בקרטון</t>
  </si>
  <si>
    <t>תה צמחים במעטפה - 25 יחידות</t>
  </si>
  <si>
    <t>תירס גרעינים - A2</t>
  </si>
  <si>
    <t>תירס גרעינים - A9</t>
  </si>
  <si>
    <t>אבטיח</t>
  </si>
  <si>
    <t>ירקות</t>
  </si>
  <si>
    <t>אגס</t>
  </si>
  <si>
    <t>אפרסק</t>
  </si>
  <si>
    <t>בזיליקום טרי</t>
  </si>
  <si>
    <t>בטטה</t>
  </si>
  <si>
    <t>בננה</t>
  </si>
  <si>
    <t>בצל יבש</t>
  </si>
  <si>
    <t>בצל סגול</t>
  </si>
  <si>
    <t>גזר</t>
  </si>
  <si>
    <t>חסה ערבית</t>
  </si>
  <si>
    <t>חציל</t>
  </si>
  <si>
    <t>כוסברה</t>
  </si>
  <si>
    <t>כרוב לבן</t>
  </si>
  <si>
    <t>כרובית טריה</t>
  </si>
  <si>
    <t>לימון</t>
  </si>
  <si>
    <t>מלון</t>
  </si>
  <si>
    <t>נענע</t>
  </si>
  <si>
    <t>נקטרינה</t>
  </si>
  <si>
    <t>סלרי עלים</t>
  </si>
  <si>
    <t>עגבניות שרי</t>
  </si>
  <si>
    <t>עלי בייבי</t>
  </si>
  <si>
    <t>ענבים ירוקים</t>
  </si>
  <si>
    <t>פטרוזיליה</t>
  </si>
  <si>
    <t>פיטריות טריות</t>
  </si>
  <si>
    <t>פלפל ירוק חריף</t>
  </si>
  <si>
    <t>פלפל צהוב תרוג</t>
  </si>
  <si>
    <t>צנון</t>
  </si>
  <si>
    <t>קישואים</t>
  </si>
  <si>
    <t>קלמנטינה</t>
  </si>
  <si>
    <t>שום טרי</t>
  </si>
  <si>
    <t>שורש</t>
  </si>
  <si>
    <t>שזיף אדום</t>
  </si>
  <si>
    <t>תפו"א טריים</t>
  </si>
  <si>
    <t>תפו"ע מוזהב גודל 6</t>
  </si>
  <si>
    <t>תפוז</t>
  </si>
  <si>
    <t>בורקס גבינה ארוז 1 ק"ג</t>
  </si>
  <si>
    <t>מאפייה</t>
  </si>
  <si>
    <t>בורקס תפו"א ארוז 1 ק"ג</t>
  </si>
  <si>
    <t>לחם אחיד פרוס 750 ג'</t>
  </si>
  <si>
    <t>לחם חיטה מלאה 750 ג'</t>
  </si>
  <si>
    <t>לחם חיטה מלאה קל 750 ג'</t>
  </si>
  <si>
    <t>לחמניה אצבע 75 גרם</t>
  </si>
  <si>
    <t>לחמניה ללא גלוטן</t>
  </si>
  <si>
    <t>פיתה</t>
  </si>
  <si>
    <t>רוגלך שוקולד טרי</t>
  </si>
  <si>
    <t>ג'חנון אפוי -  מארז 5 יחידות</t>
  </si>
  <si>
    <t>צלחת</t>
  </si>
  <si>
    <t>קפואים</t>
  </si>
  <si>
    <t>גלידה חלבית 2 ליטר</t>
  </si>
  <si>
    <t>גלידה פרווה 2 ליטר</t>
  </si>
  <si>
    <t>גלידה פרווה 5 ליטר</t>
  </si>
  <si>
    <t>המבורגר בקר מוכן 100ג' (56296) נטו</t>
  </si>
  <si>
    <t>המבורגר בקר מוכן 56293 (107) נטו</t>
  </si>
  <si>
    <t>טבעות עוף 10 ק"ג</t>
  </si>
  <si>
    <t>לטקס תפו"א ארוז 2 ק"ג</t>
  </si>
  <si>
    <t>נגיסי עוף 10 ק"ג</t>
  </si>
  <si>
    <t>נקניקיות נאש-תפזורת (7 ק"ג)</t>
  </si>
  <si>
    <t>נקניקיות צימחיות 1 ק"ג</t>
  </si>
  <si>
    <t>פלאפל (5 ק"ג)</t>
  </si>
  <si>
    <t>צ'יפס קפוא 2.5 ק"ג</t>
  </si>
  <si>
    <t>קציצות בקר 45113 (459) טיבונוויל</t>
  </si>
  <si>
    <t>קציצות עוף - 55 ג' (8260) אוסם</t>
  </si>
  <si>
    <t>קרואסון/רוגלך קפוא‏ - תפז' 6 ק"ג</t>
  </si>
  <si>
    <t>שווארמה מוכנה מתובל 532005-נ.עציון</t>
  </si>
  <si>
    <t>שניצל עוף מוכן 100 ג - ארוז</t>
  </si>
  <si>
    <t>שניצל עוף מוכן אמיתי 8030 עוף טוב</t>
  </si>
  <si>
    <t>שניצל צימחי 1 ק"ג</t>
  </si>
  <si>
    <t>שניצל תירס 1 ק"ג</t>
  </si>
  <si>
    <t>שעועית ירוקה קפואה 3 ק"ג</t>
  </si>
  <si>
    <t>שעועית לבנה 1 ק"ג</t>
  </si>
  <si>
    <t>אריזה</t>
  </si>
  <si>
    <t>שונות</t>
  </si>
  <si>
    <t>סופגניה קפואה קטנה-50 יחידות</t>
  </si>
  <si>
    <t>1ל-7</t>
  </si>
  <si>
    <t>1ל-2.5</t>
  </si>
  <si>
    <t>מלח פלפל אישי</t>
  </si>
  <si>
    <t>2יח ל1</t>
  </si>
  <si>
    <t>2ל-טבעוני\לקטוז</t>
  </si>
  <si>
    <t>לימון אישי</t>
  </si>
  <si>
    <t>גבינה מותכת משולשים( 16 חת')</t>
  </si>
  <si>
    <t>3יח' ל-1</t>
  </si>
  <si>
    <t xml:space="preserve">סה"כ מספר נפשות </t>
  </si>
  <si>
    <t>שם קב'</t>
  </si>
  <si>
    <t>טחינה 30 גרם</t>
  </si>
  <si>
    <t xml:space="preserve"> 1ל-לקטוז\טבעוני</t>
  </si>
  <si>
    <t>1יח שוקולד פרווה אישי</t>
  </si>
  <si>
    <t>קולורבי</t>
  </si>
  <si>
    <t>א. מרק ט.עוף כשל"פ-תלמה</t>
  </si>
  <si>
    <t>זעתר יבש 1 ק"ג</t>
  </si>
  <si>
    <t>חומוס יבש 1 ק"ג</t>
  </si>
  <si>
    <t>טמפורה 1 ק"ג</t>
  </si>
  <si>
    <t>מלח מ.א 1000 יח</t>
  </si>
  <si>
    <t>ממרח שוקולד מ.א - 120 יחידות</t>
  </si>
  <si>
    <t>מצה 2.5 ק"ג - קרטון</t>
  </si>
  <si>
    <t>סילאן 900 גרם</t>
  </si>
  <si>
    <t>עוגיות לפסח בוטנים+שוקולד 4 ק"ג</t>
  </si>
  <si>
    <t>פלפל שחור מ.א 1000 יח</t>
  </si>
  <si>
    <t>קארי 1 ק"ג</t>
  </si>
  <si>
    <t>קורנפלקס 500 ג' - כשר לפסח</t>
  </si>
  <si>
    <t>קורנפלקס שוגי 1 ק"ג -יוניליור</t>
  </si>
  <si>
    <t>קינמון 1 ק"ג</t>
  </si>
  <si>
    <t>קפה נמס 200 גרם (קלאסיק אסם)‏</t>
  </si>
  <si>
    <t>ח.עוף בגריל טבעוני 630 ג  ל.פ.</t>
  </si>
  <si>
    <t>מיני המבורגר פטריות 540 ג -אסם</t>
  </si>
  <si>
    <t>גבינה מותכת "נעמה" - 8 יח' במארז</t>
  </si>
  <si>
    <t>חמאה 100 גרם</t>
  </si>
  <si>
    <t>טופו</t>
  </si>
  <si>
    <t>יוגורט 1.5 ליטר - תנובה</t>
  </si>
  <si>
    <t>לאבנה 1/2 ק"ג</t>
  </si>
  <si>
    <t>לאבנה 5% - 2 ק"ג</t>
  </si>
  <si>
    <t>לאבנה 5% - 250 ג'</t>
  </si>
  <si>
    <t>סלט חומוס 500 גרם</t>
  </si>
  <si>
    <t>שוקו 1 ליטר</t>
  </si>
  <si>
    <t>שוקו קרלו בשקית (25 יח') - תנובה</t>
  </si>
  <si>
    <t>שמנת חמוצה 200 מל"ל</t>
  </si>
  <si>
    <t>שמנת מתוקה לבישול 15% 250 מל"ל</t>
  </si>
  <si>
    <t>לחמנית המבורגר 60 גרם</t>
  </si>
  <si>
    <t>נקניק סלמי יבש 400 ג</t>
  </si>
  <si>
    <t>ח.עוף+מג'דרה+שעועית-ל.גלוטן 558894</t>
  </si>
  <si>
    <t>קצ.בקר+פסטה ר. עגב-ל.גלוטן 558897</t>
  </si>
  <si>
    <t>רצ.בקר+אורז וחומוס-ל.גלוטן 558895</t>
  </si>
  <si>
    <t>מנות צליאק</t>
  </si>
  <si>
    <t>קפה טורקי 1 קג - לנדוור</t>
  </si>
  <si>
    <t>1יח' ריבה אישית</t>
  </si>
  <si>
    <t>עמודה1</t>
  </si>
  <si>
    <t>עמודה2</t>
  </si>
  <si>
    <t>מלח אישי</t>
  </si>
  <si>
    <t>עמודה3</t>
  </si>
  <si>
    <t>מחיר למוצר</t>
  </si>
  <si>
    <t>כמות למחיר</t>
  </si>
  <si>
    <t>מחיר לארוחה</t>
  </si>
  <si>
    <t>פלפל אישי</t>
  </si>
  <si>
    <t>מעמ</t>
  </si>
  <si>
    <t>סה"כ לארוחה  לקבוצה</t>
  </si>
  <si>
    <t>סה"כ לארוחה  לילד</t>
  </si>
  <si>
    <t>עמודה32</t>
  </si>
  <si>
    <t>40גרם</t>
  </si>
  <si>
    <t>נייר אלומיניום</t>
  </si>
  <si>
    <t xml:space="preserve">ממרח שוקולד פרווה אישי </t>
  </si>
  <si>
    <t>כמון</t>
  </si>
  <si>
    <t>חוויאג' למרק</t>
  </si>
  <si>
    <t>פפריקה מתוקה</t>
  </si>
  <si>
    <t>ריבה אישית 30גרם</t>
  </si>
  <si>
    <t>מס' צמחוניים</t>
  </si>
  <si>
    <t>כפפות לטקס</t>
  </si>
  <si>
    <t>פסטרמה טריה</t>
  </si>
  <si>
    <t>חומוס</t>
  </si>
  <si>
    <t xml:space="preserve"> אקסטרה פינת קפה</t>
  </si>
  <si>
    <t>חלב סויה</t>
  </si>
  <si>
    <t>נס קפה</t>
  </si>
  <si>
    <t>חלב</t>
  </si>
  <si>
    <t>כפית</t>
  </si>
  <si>
    <t>סלמי טרי</t>
  </si>
  <si>
    <t>לחם פרוס</t>
  </si>
  <si>
    <t>שוקולד חלבי</t>
  </si>
  <si>
    <t>שוקולד פרווה</t>
  </si>
  <si>
    <t xml:space="preserve">חמאת בוטנים </t>
  </si>
  <si>
    <t>ריבה</t>
  </si>
  <si>
    <t>סבון ידיים</t>
  </si>
  <si>
    <t>סבון כלים</t>
  </si>
  <si>
    <t>סקוצ'ים</t>
  </si>
  <si>
    <t>ברזלית</t>
  </si>
  <si>
    <t>נייר טואלט</t>
  </si>
  <si>
    <t>בחירה</t>
  </si>
  <si>
    <t>קערית</t>
  </si>
  <si>
    <t>מפת ניילון</t>
  </si>
  <si>
    <t>אקונומיקה</t>
  </si>
  <si>
    <t>סבון רצפות</t>
  </si>
  <si>
    <t xml:space="preserve">קפה שחור </t>
  </si>
  <si>
    <t xml:space="preserve">בחירה </t>
  </si>
  <si>
    <t>מקט</t>
  </si>
  <si>
    <t>נס קפה (ארומה)</t>
  </si>
  <si>
    <t>פינת קפה</t>
  </si>
  <si>
    <t>ארוחת בוקר</t>
  </si>
  <si>
    <t>כמות ימים/הכפלות</t>
  </si>
  <si>
    <t>25 גרם</t>
  </si>
  <si>
    <t xml:space="preserve">כולל שתייה חמה </t>
  </si>
  <si>
    <t xml:space="preserve">בלי שתייה חמה </t>
  </si>
  <si>
    <t>ימים/הכפלות</t>
  </si>
  <si>
    <t>200 מל</t>
  </si>
  <si>
    <t>ארוחת צהריים</t>
  </si>
  <si>
    <t xml:space="preserve">לימון טרי </t>
  </si>
  <si>
    <t>טונה גדול שימורים</t>
  </si>
  <si>
    <t>טונה גדול בפאוץ'</t>
  </si>
  <si>
    <t>עלי גפן</t>
  </si>
  <si>
    <t>צמחוני</t>
  </si>
  <si>
    <t>חב' של 3</t>
  </si>
  <si>
    <t>פריסה</t>
  </si>
  <si>
    <t>כוס שתייה קרה</t>
  </si>
  <si>
    <t>1.5 ליטר</t>
  </si>
  <si>
    <t>לפי קבוצות</t>
  </si>
  <si>
    <t>מרכזי</t>
  </si>
  <si>
    <t>כמות ישיבות</t>
  </si>
  <si>
    <t>מעדן שוקולד</t>
  </si>
  <si>
    <t>מעדן וניל</t>
  </si>
  <si>
    <t>25 יח'</t>
  </si>
  <si>
    <t>25 גרם (240 יח)</t>
  </si>
  <si>
    <t>A10</t>
  </si>
  <si>
    <t>קוד מוצר</t>
  </si>
  <si>
    <t>דלעת</t>
  </si>
  <si>
    <t>זעתר 1 ק"ג-ברמן</t>
  </si>
  <si>
    <t>פלפל שחור טחון 1 ק"ג-ברמן</t>
  </si>
  <si>
    <t>פפריקה מתוקה 1 ק"ג-ברמן</t>
  </si>
  <si>
    <t>קוקה קולה זירו</t>
  </si>
  <si>
    <t>קיטים מיוחדים</t>
  </si>
  <si>
    <t>מחיר</t>
  </si>
  <si>
    <t>01-001</t>
  </si>
  <si>
    <t>01-002</t>
  </si>
  <si>
    <t>01-003</t>
  </si>
  <si>
    <t>01-004</t>
  </si>
  <si>
    <t>01-005</t>
  </si>
  <si>
    <t>01-006</t>
  </si>
  <si>
    <t>01-007</t>
  </si>
  <si>
    <t>01-008</t>
  </si>
  <si>
    <t>01-009</t>
  </si>
  <si>
    <t>01-010</t>
  </si>
  <si>
    <t>01-011</t>
  </si>
  <si>
    <t>01-012</t>
  </si>
  <si>
    <t>01-013</t>
  </si>
  <si>
    <t>01-014</t>
  </si>
  <si>
    <t>01-015</t>
  </si>
  <si>
    <t>01-016</t>
  </si>
  <si>
    <t>01-017</t>
  </si>
  <si>
    <t>01-018</t>
  </si>
  <si>
    <t>01-019</t>
  </si>
  <si>
    <t>01-020</t>
  </si>
  <si>
    <t>01-021</t>
  </si>
  <si>
    <t>01-022</t>
  </si>
  <si>
    <t>בשרי</t>
  </si>
  <si>
    <t>טבעוני</t>
  </si>
  <si>
    <t>תאריך</t>
  </si>
  <si>
    <t>שעה</t>
  </si>
  <si>
    <t>מיקום</t>
  </si>
  <si>
    <t>איש קשר</t>
  </si>
  <si>
    <t>טלפון</t>
  </si>
  <si>
    <t xml:space="preserve">כמויות </t>
  </si>
  <si>
    <t>פרטי ההזמנה</t>
  </si>
  <si>
    <t xml:space="preserve">סה"כ </t>
  </si>
  <si>
    <t>הזמנת קייטרינג לארוחות ערב</t>
  </si>
  <si>
    <t>יח</t>
  </si>
  <si>
    <t xml:space="preserve">כפית </t>
  </si>
  <si>
    <t>שקיות זבל</t>
  </si>
  <si>
    <t>חישוב חדפ</t>
  </si>
  <si>
    <t>50 יח'</t>
  </si>
  <si>
    <t>100 יח'</t>
  </si>
  <si>
    <t>100יח'</t>
  </si>
  <si>
    <t>150 יח'</t>
  </si>
  <si>
    <t>48 גלילים ביח'</t>
  </si>
  <si>
    <t>פריסת אמצע</t>
  </si>
  <si>
    <t>מיוחדים</t>
  </si>
  <si>
    <t>01-023</t>
  </si>
  <si>
    <t>גסטרונום אלומיניום</t>
  </si>
  <si>
    <t xml:space="preserve">גסטרונום אלומיניום </t>
  </si>
  <si>
    <t>תוספות</t>
  </si>
  <si>
    <t>סה"כ מחיר</t>
  </si>
  <si>
    <t>מחיר ליח'</t>
  </si>
  <si>
    <t xml:space="preserve">סיר גדול של מרק מספיק ל- 200 עד 300 איש </t>
  </si>
  <si>
    <t xml:space="preserve">פת שחרית </t>
  </si>
  <si>
    <t>% מעם</t>
  </si>
  <si>
    <t>מעם</t>
  </si>
  <si>
    <t>כמות סירים</t>
  </si>
  <si>
    <t>עוגיות</t>
  </si>
  <si>
    <t>1 ל-25</t>
  </si>
  <si>
    <t>1 לסיר</t>
  </si>
  <si>
    <t>20 לסיר</t>
  </si>
  <si>
    <t>2 לסיר</t>
  </si>
  <si>
    <t>1 לאדם</t>
  </si>
  <si>
    <t>הזנת נתונים</t>
  </si>
  <si>
    <t>מס</t>
  </si>
  <si>
    <t>כמות במחיר</t>
  </si>
  <si>
    <t>מחיר לקיט כולל</t>
  </si>
  <si>
    <t>מפתח2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</si>
  <si>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</si>
  <si>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</si>
  <si>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</si>
  <si>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</si>
  <si>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</si>
  <si>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</si>
  <si>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</si>
  <si>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</si>
  <si>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</si>
  <si>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</si>
  <si>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</si>
  <si>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</si>
  <si>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</si>
  <si>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</si>
  <si>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</si>
  <si>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</si>
  <si>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</si>
  <si>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</si>
  <si>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</si>
  <si>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</si>
  <si>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</si>
  <si>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</si>
  <si>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</si>
  <si>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</si>
  <si>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</si>
  <si>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</si>
  <si>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</si>
  <si>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</si>
  <si>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</si>
  <si>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</si>
  <si>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</si>
  <si>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</si>
  <si>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הזמנה</t>
  </si>
  <si>
    <t>כבד</t>
  </si>
  <si>
    <t xml:space="preserve"> 1 ל-30 </t>
  </si>
  <si>
    <t>שוקולד השחר (חלבי) 500 ג'</t>
  </si>
  <si>
    <t>1 ל- 30</t>
  </si>
  <si>
    <t xml:space="preserve">1 ל-5 </t>
  </si>
  <si>
    <t>שמנת של פעם 200 מ"ל</t>
  </si>
  <si>
    <t xml:space="preserve"> 1 ל-7 </t>
  </si>
  <si>
    <t>שמנת/גבינה לבנה</t>
  </si>
  <si>
    <t>1 לאדם (2/3)</t>
  </si>
  <si>
    <t>1 לאדם (1/3)</t>
  </si>
  <si>
    <t>גבינה לבנה 250 ג'</t>
  </si>
  <si>
    <t>קל</t>
  </si>
  <si>
    <t>עגבניה יח'</t>
  </si>
  <si>
    <t>1 ל-4</t>
  </si>
  <si>
    <t>מלפפון יח'</t>
  </si>
  <si>
    <t>חדפ</t>
  </si>
  <si>
    <t>5 לקבוצה</t>
  </si>
  <si>
    <t>6 לקבוצה</t>
  </si>
  <si>
    <t>מעדן</t>
  </si>
  <si>
    <t xml:space="preserve">מעדן שוקו </t>
  </si>
  <si>
    <t xml:space="preserve">שקיות גופייה לחניכים </t>
  </si>
  <si>
    <t xml:space="preserve">מעדן וניל </t>
  </si>
  <si>
    <t>שקיות גופייה להכנת הקיט</t>
  </si>
  <si>
    <t>8 לקבוצה</t>
  </si>
  <si>
    <t>---</t>
  </si>
  <si>
    <t>2 לקבוצה</t>
  </si>
  <si>
    <t xml:space="preserve"> 1 ללקטוז\טבעוני</t>
  </si>
  <si>
    <t>טונה</t>
  </si>
  <si>
    <t>טונה (100 גרם)</t>
  </si>
  <si>
    <t>טונה (140 גרם)</t>
  </si>
  <si>
    <t>29</t>
  </si>
  <si>
    <t>34</t>
  </si>
  <si>
    <t>2 ל-30</t>
  </si>
  <si>
    <t>מלפפון חמוץ במלח A2</t>
  </si>
  <si>
    <t>1 ל-10</t>
  </si>
  <si>
    <t>תירס A2</t>
  </si>
  <si>
    <t>1 ל-8</t>
  </si>
  <si>
    <t>שוקולד השחר (פרווה) 400 ג'</t>
  </si>
  <si>
    <t xml:space="preserve">1 ל-30 </t>
  </si>
  <si>
    <t>גבינה מותכת משולשים</t>
  </si>
  <si>
    <t>1 ל-2</t>
  </si>
  <si>
    <t>1 ל-6</t>
  </si>
  <si>
    <t>1 ל-3</t>
  </si>
  <si>
    <t>3 לטחינה</t>
  </si>
  <si>
    <t xml:space="preserve">6 לקבוצה </t>
  </si>
  <si>
    <t xml:space="preserve">2 לקבוצה </t>
  </si>
  <si>
    <t>שניצל + פסטה</t>
  </si>
  <si>
    <t>500 גרם ל-5</t>
  </si>
  <si>
    <t>שניצל 700 גרם</t>
  </si>
  <si>
    <t>125 ג' לאדם</t>
  </si>
  <si>
    <t>1 ל-30</t>
  </si>
  <si>
    <t>לימון טרי</t>
  </si>
  <si>
    <t>1 ל-15</t>
  </si>
  <si>
    <t xml:space="preserve">רוטב עגבניות </t>
  </si>
  <si>
    <t>1 ל-14</t>
  </si>
  <si>
    <t>לטקס תפוא</t>
  </si>
  <si>
    <t>3 לטבעוני/צמחוני (120 ג')</t>
  </si>
  <si>
    <t>1 ל-35</t>
  </si>
  <si>
    <t>1 לקבוצה (קופסא)</t>
  </si>
  <si>
    <t>פלפל</t>
  </si>
  <si>
    <t>פפריקה</t>
  </si>
  <si>
    <t>1.2 לאדם</t>
  </si>
  <si>
    <t>2 קבוצה</t>
  </si>
  <si>
    <t>שקית גופיה (להכנת הקיט)</t>
  </si>
  <si>
    <t>1 לקבוצה</t>
  </si>
  <si>
    <t xml:space="preserve">נקניקיות + פירה </t>
  </si>
  <si>
    <t>תפו"א</t>
  </si>
  <si>
    <t xml:space="preserve">150 גרם לאדם </t>
  </si>
  <si>
    <t>120 ג' לאדם</t>
  </si>
  <si>
    <t xml:space="preserve"> 1 ל-3</t>
  </si>
  <si>
    <t xml:space="preserve"> 1 ל- 30</t>
  </si>
  <si>
    <t>פטריות משומרות</t>
  </si>
  <si>
    <t xml:space="preserve">לחמניה </t>
  </si>
  <si>
    <t>1 ל-1</t>
  </si>
  <si>
    <t>5 לטבעוני/צמחוני (125 ג')</t>
  </si>
  <si>
    <t>1 לצליאק</t>
  </si>
  <si>
    <t>בוקר קיטים</t>
  </si>
  <si>
    <t>ערב בישול 1</t>
  </si>
  <si>
    <t>ערב בישול 2</t>
  </si>
  <si>
    <t>ממוצע בקבוצה</t>
  </si>
  <si>
    <t>42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</si>
  <si>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</si>
  <si>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</si>
  <si>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</si>
  <si>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</si>
  <si>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</si>
  <si>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</si>
  <si>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</si>
  <si>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</si>
  <si>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</si>
  <si>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</si>
  <si>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</si>
  <si>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</si>
  <si>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</si>
  <si>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</si>
  <si>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</si>
  <si>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</si>
  <si>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</si>
  <si>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</si>
  <si>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</si>
  <si>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</si>
  <si>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</si>
  <si>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</si>
  <si>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</si>
  <si>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</si>
  <si>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</si>
  <si>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</si>
  <si>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</si>
  <si>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</si>
  <si>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</si>
  <si>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</si>
  <si>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</si>
  <si>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</si>
  <si>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</si>
  <si>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</si>
  <si>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</si>
  <si>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</si>
  <si>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</si>
  <si>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</si>
  <si>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</si>
  <si>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</si>
  <si>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</si>
  <si>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</si>
  <si>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</si>
  <si>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</si>
  <si>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</si>
  <si>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</si>
  <si>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</si>
  <si>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</si>
  <si>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</si>
  <si>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</si>
  <si>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</si>
  <si>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</si>
  <si>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כמות לקיט</t>
  </si>
  <si>
    <t>משקה קל טמפו</t>
  </si>
  <si>
    <t>20 גרם</t>
  </si>
  <si>
    <t>לחמניה</t>
  </si>
  <si>
    <t>סךהכ</t>
  </si>
  <si>
    <t>צמחוני + טבעוני</t>
  </si>
  <si>
    <t>0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</si>
  <si>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</si>
  <si>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</si>
  <si>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</si>
  <si>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</si>
  <si>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</si>
  <si>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</si>
  <si>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</si>
  <si>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</si>
  <si>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</si>
  <si>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</si>
  <si>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</si>
  <si>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</si>
  <si>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</si>
  <si>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</si>
  <si>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</si>
  <si>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</si>
  <si>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</si>
  <si>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</si>
  <si>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</si>
  <si>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</si>
  <si>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</si>
  <si>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</si>
  <si>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</si>
  <si>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</si>
  <si>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</si>
  <si>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</si>
  <si>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</si>
  <si>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</si>
  <si>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</si>
  <si>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</si>
  <si>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</si>
  <si>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</si>
  <si>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</si>
  <si>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</si>
  <si>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</si>
  <si>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</si>
  <si>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</si>
  <si>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</si>
  <si>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</si>
  <si>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</si>
  <si>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</si>
  <si>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</si>
  <si>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</si>
  <si>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</si>
  <si>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</si>
  <si>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</si>
  <si>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</si>
  <si>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</si>
  <si>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</si>
  <si>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</si>
  <si>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</si>
  <si>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</si>
  <si>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</si>
  <si>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</si>
  <si>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</si>
  <si>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</si>
  <si>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</si>
  <si>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</si>
  <si>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</si>
  <si>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</si>
  <si>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</si>
  <si>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</si>
  <si>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</si>
  <si>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</si>
  <si>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</si>
  <si>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</si>
  <si>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</si>
  <si>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</si>
  <si>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</si>
  <si>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א. בוקר פריסה</t>
  </si>
  <si>
    <t>1 ל-5</t>
  </si>
  <si>
    <t>מרק עדשים</t>
  </si>
  <si>
    <t xml:space="preserve">סה"כ אוכלים </t>
  </si>
  <si>
    <t>אפונה</t>
  </si>
  <si>
    <t>עדשים ירוקות</t>
  </si>
  <si>
    <t>סלרי</t>
  </si>
  <si>
    <t>כוס חמה</t>
  </si>
  <si>
    <t>כף</t>
  </si>
  <si>
    <t>מרק ירקות</t>
  </si>
  <si>
    <t>פסטה וקציצות בקר</t>
  </si>
  <si>
    <t xml:space="preserve"> 0.5 ק"ג ל-5</t>
  </si>
  <si>
    <t>1 ל-20</t>
  </si>
  <si>
    <t>1 ל-100</t>
  </si>
  <si>
    <t>פירה שווארמה</t>
  </si>
  <si>
    <t>פירה</t>
  </si>
  <si>
    <t>250 ג'</t>
  </si>
  <si>
    <t>1ל-30</t>
  </si>
  <si>
    <t>4 ל-1</t>
  </si>
  <si>
    <t xml:space="preserve">קוסקוס וקוביות עוף </t>
  </si>
  <si>
    <t>1ק"ג ל-10</t>
  </si>
  <si>
    <t xml:space="preserve">קוביות עוף </t>
  </si>
  <si>
    <t>לקט</t>
  </si>
  <si>
    <t xml:space="preserve">רוטב סויה </t>
  </si>
  <si>
    <t>2 ק"ג לסיר</t>
  </si>
  <si>
    <t>6 ק"ג לסיר</t>
  </si>
  <si>
    <t>3 יח' לסיר</t>
  </si>
  <si>
    <t>1 ליטר לסיר</t>
  </si>
  <si>
    <t xml:space="preserve">אבקת מרק </t>
  </si>
  <si>
    <t>1 ק"ג לסיר</t>
  </si>
  <si>
    <t>1.1 יח לאדם</t>
  </si>
  <si>
    <t>ערב בישול 3</t>
  </si>
  <si>
    <t>שם הקבוצה</t>
  </si>
  <si>
    <t>1 ל-60</t>
  </si>
  <si>
    <t>מרק</t>
  </si>
  <si>
    <t>חלוה</t>
  </si>
  <si>
    <t>וופל אישי</t>
  </si>
  <si>
    <t>25 גרם (50 יח)</t>
  </si>
  <si>
    <t>960 גרם</t>
  </si>
  <si>
    <t>100 גרם</t>
  </si>
  <si>
    <t xml:space="preserve">וופל אישי </t>
  </si>
  <si>
    <t>טחינה מוכנה</t>
  </si>
  <si>
    <t xml:space="preserve">500 גרם </t>
  </si>
  <si>
    <t xml:space="preserve">100 יח' </t>
  </si>
  <si>
    <t xml:space="preserve">1 לקבוצה </t>
  </si>
  <si>
    <t>עמודה56</t>
  </si>
  <si>
    <t>תוספת</t>
  </si>
  <si>
    <t xml:space="preserve">50 גרם לקבוצה </t>
  </si>
  <si>
    <t xml:space="preserve">20 גרם לקבוצה </t>
  </si>
  <si>
    <t>כרוב</t>
  </si>
  <si>
    <t xml:space="preserve">לכתוב כמות בלי חישוב </t>
  </si>
  <si>
    <t>בייגלה</t>
  </si>
  <si>
    <t>300 גרם</t>
  </si>
  <si>
    <t>פת שחרית</t>
  </si>
  <si>
    <t>פימת קפה</t>
  </si>
  <si>
    <t>אבקת שוקו 1 ק"ג-ברמן</t>
  </si>
  <si>
    <t>חומוס גרעינים משומר -A2שימורי עדן</t>
  </si>
  <si>
    <t>טחינה גולמית 1 ק"ג-אחווה</t>
  </si>
  <si>
    <t>כמון טחון 1 ק"ג-ברמן</t>
  </si>
  <si>
    <t>לקט ירקות העונה קפוא 3 ק"ג-פרי גליל</t>
  </si>
  <si>
    <t>מיונז 1 ק"ג אמיתי-תלמה-יוניליוור</t>
  </si>
  <si>
    <t>ממרח שוקולד חלבי 500 ג-'השחר העולה</t>
  </si>
  <si>
    <t>ממרח שוקולד פרווה 400 ג-'השחר העולה</t>
  </si>
  <si>
    <t>משקה סודה בבקבוק 1.5 ל-'טמפו</t>
  </si>
  <si>
    <t>סלט חציל במיונז 3 ק"ג-ס.שמיר</t>
  </si>
  <si>
    <t>פיטריות חתוכות A9 שמפיניון-ייבוא</t>
  </si>
  <si>
    <t>פלאפל 1 ק"ג בד"צ-ש.האופים-נטו</t>
  </si>
  <si>
    <t>פסטה ייבוא מסולסלים 5 ק"גLU-Pastanova-</t>
  </si>
  <si>
    <t>צ'יפס קפוא 2.5 ק"ג-פרי גליל</t>
  </si>
  <si>
    <t>קפה טורקי 100 ג-'עלית-שטראוס</t>
  </si>
  <si>
    <t>קפה נמס מגורען רד מאג 200 ג-'נסטלה-אוסם</t>
  </si>
  <si>
    <t>שמן קנולה 1 ל-'לבונה-שלי</t>
  </si>
  <si>
    <t>% מע"מ</t>
  </si>
  <si>
    <t xml:space="preserve">מחיר ליח' כולל </t>
  </si>
  <si>
    <t xml:space="preserve">א. צהררים פריסה </t>
  </si>
  <si>
    <t>צהריים קיטים</t>
  </si>
  <si>
    <t>סה"כ להזמנה</t>
  </si>
  <si>
    <t>סה"כ להזמנה כולל מע"מ</t>
  </si>
  <si>
    <t>רסק עגבניות A2</t>
  </si>
  <si>
    <t>קציצות עוף</t>
  </si>
  <si>
    <t>קציצות עדשים</t>
  </si>
  <si>
    <t>ערב קטן 1</t>
  </si>
  <si>
    <t>ערב קטן 2</t>
  </si>
  <si>
    <t xml:space="preserve">כמות בקרטון </t>
  </si>
  <si>
    <t xml:space="preserve">מחיר לקרטון לפני </t>
  </si>
  <si>
    <t xml:space="preserve">מחיר יח' אחרי </t>
  </si>
  <si>
    <t>פימת קפה2</t>
  </si>
  <si>
    <t>פת שחרית3</t>
  </si>
  <si>
    <t>א. בוקר פריסה4</t>
  </si>
  <si>
    <t>א. צהררים פריסה 5</t>
  </si>
  <si>
    <t>בוקר קיטים6</t>
  </si>
  <si>
    <t>צהריים קיטים7</t>
  </si>
  <si>
    <t>פריסת אמצע8</t>
  </si>
  <si>
    <t>מרק9</t>
  </si>
  <si>
    <t>ערב בישול 110</t>
  </si>
  <si>
    <t>ערב בישול 211</t>
  </si>
  <si>
    <t>ערב בישול 312</t>
  </si>
  <si>
    <t>ערב קטן 113</t>
  </si>
  <si>
    <t>ערב קטן 214</t>
  </si>
  <si>
    <t>קיטים מיוחדים15</t>
  </si>
  <si>
    <t>תוספות16</t>
  </si>
  <si>
    <t>קייטרינג</t>
  </si>
  <si>
    <t>מתכלה אחרי</t>
  </si>
  <si>
    <t>סה"כ רגיל</t>
  </si>
  <si>
    <t xml:space="preserve">כמות </t>
  </si>
  <si>
    <t>סה"כ מתכלה</t>
  </si>
  <si>
    <t xml:space="preserve">הפרש להזמנה זאת </t>
  </si>
  <si>
    <t>כמות אנשים להזמנה</t>
  </si>
  <si>
    <t>הפרש לאיש</t>
  </si>
  <si>
    <t>קפה שחור</t>
  </si>
  <si>
    <t xml:space="preserve">תוספת לחמניות ללא גלוטן בתוספות </t>
  </si>
  <si>
    <t>שם מוצר</t>
  </si>
  <si>
    <t>חזה עוף שלם ארוז-ע.הגליל(632216)</t>
  </si>
  <si>
    <t>מלח שולחן 1 ק"ג-מלח הארץ</t>
  </si>
  <si>
    <t>מעדן דני וניל 125 מ"ל בד"צ-שטראוס</t>
  </si>
  <si>
    <t>מעדן דני שוקו 125 מ"ל בד"צ-שטראוס</t>
  </si>
  <si>
    <t>שניצל תירס 1 ק"ג-קפוא זן(30502320)</t>
  </si>
  <si>
    <t>שקדי מרק 1 ק"ג-מ.דוידוביץ(3010704)</t>
  </si>
  <si>
    <t>כמות ארוחות ערב</t>
  </si>
  <si>
    <t>כמות ימים</t>
  </si>
  <si>
    <t>כמות משתתפים</t>
  </si>
  <si>
    <t>כמות פתי שחרית</t>
  </si>
  <si>
    <t>כמות פריסות אמצע</t>
  </si>
  <si>
    <t>כמות פינות קפה</t>
  </si>
  <si>
    <t>כמות קבלות שבת</t>
  </si>
  <si>
    <t>כמות קיטי ישיבות</t>
  </si>
  <si>
    <t>קיט/פריסה</t>
  </si>
  <si>
    <t>קייטרינג/בישול/קטנות</t>
  </si>
  <si>
    <t>שם המפעל</t>
  </si>
  <si>
    <t>כמות קבוצות</t>
  </si>
  <si>
    <t xml:space="preserve">ברוכים הבאים למחשבון המזון </t>
  </si>
  <si>
    <t>נא למלא את הפרטים הבאים על מנת ליצור לכם סדר במהלך מילוי הפרטים במחשבון</t>
  </si>
  <si>
    <t>טלפון:</t>
  </si>
  <si>
    <t>ערב קטן 3</t>
  </si>
  <si>
    <t>פתיתים וקציצות</t>
  </si>
  <si>
    <t>שניצל, מרק וקוסקוס</t>
  </si>
  <si>
    <t>150 ג' לאדם</t>
  </si>
  <si>
    <t>1 ל-50</t>
  </si>
  <si>
    <t>מרק אפונה</t>
  </si>
  <si>
    <t>תפו"ע מוזהב גודל6</t>
  </si>
  <si>
    <t>תפו"ע חרמון גודל6</t>
  </si>
  <si>
    <t>תירס גרעינים-A9 תמי-שימורי המרכז</t>
  </si>
  <si>
    <t>תירס גרעינים-A2 תמי-שימורי המרכז</t>
  </si>
  <si>
    <t>תה ירוק נענע 25) יח-('עדנים</t>
  </si>
  <si>
    <t>תה 2000 אדמירל 100)-יח 'במארז-(ויסוצקי</t>
  </si>
  <si>
    <t>תה 2000 אדמירל 2000 יח 'בקרטון-ויסוצקי</t>
  </si>
  <si>
    <t>שעועית לבנה אפויה-A2 תמי-שימורי המרכז</t>
  </si>
  <si>
    <t>שעועית ירוקה חתוכה קפואה 2.5 ק"ג-ייבוא-נתיח</t>
  </si>
  <si>
    <t>שניצל צימחי 1 ק"ג בד"צ עד"ח-קפוא זן02317)יח</t>
  </si>
  <si>
    <t>שניצל עוף אמיתי 700 ג-'טופשף-קפוא זן1402)יח</t>
  </si>
  <si>
    <t>שניצל נתח שלם 100 ג-(3024)'נטו(45875)</t>
  </si>
  <si>
    <t>שמן קנולה 5 ל-'לבונה/אופיר-שלי</t>
  </si>
  <si>
    <t>שמן זית 750 מ"ל-Kamoli-100% שלי</t>
  </si>
  <si>
    <t>שמן זית 1 ל 'כתית מעולה-שלי</t>
  </si>
  <si>
    <t>שוקו בשקית 25) -2% יח 225*מל (בד"צ-תנובמארז</t>
  </si>
  <si>
    <t>שווארמה מוכנה 3 ק"ג-ניר עציון(532006)</t>
  </si>
  <si>
    <t>רסק עגבניות-A9 -28% פ.טעים-שימורי המרכזיח</t>
  </si>
  <si>
    <t>רסק עגבניות-A2 -28% פ.טעים-שימורי המרכזיח</t>
  </si>
  <si>
    <t>ריבה מ.א .בטעם תות 120) יח-('פוגל</t>
  </si>
  <si>
    <t>ריבה מ.א .בטעם שזיף 120) יח-('פוגל</t>
  </si>
  <si>
    <t>ריבה מ.א .בטעם אוכמניות 120) יח-('פוגל</t>
  </si>
  <si>
    <t>ריבה 850 ג 'תות-פוליבה(620206)</t>
  </si>
  <si>
    <t>רוטב צילי מתוק700 מ"ל-מזרח ומערב71043)</t>
  </si>
  <si>
    <t>רוטב צ'ילי מתוק 4.5 ל-'ר.ס.</t>
  </si>
  <si>
    <t>רוטב עגבניות פולפה שף 10 ק"ג בפאוץ-אימפו</t>
  </si>
  <si>
    <t>רוטב סויה 4 ל 'סיני-ר.ס.</t>
  </si>
  <si>
    <t>קרקר שומשום 1 ק"ג-הדר-ברמן</t>
  </si>
  <si>
    <t>קרם קרקר 1 ק"ג-הדר-ברמן</t>
  </si>
  <si>
    <t>קציצות עוף הזנת ילדים-נטו(45021)</t>
  </si>
  <si>
    <t>קציצות עדשים כתומות וירקות 5 ק"ג-חמים וטעקרטון</t>
  </si>
  <si>
    <t>קציצות בטטה עדשים וגזר בתפז 5 קג04764)</t>
  </si>
  <si>
    <t>קפה נמס מגורען 200 ג 'ארומה קלאסי-עלית-שיח</t>
  </si>
  <si>
    <t>קפה טורקי מוסדי בואקום 1 ק"ג-עלית-שטראוסיח</t>
  </si>
  <si>
    <t>קמח 1 ק"ג חיטה לבן בהיר-טחנת קמח יפו</t>
  </si>
  <si>
    <t>קטשופ מ.א .בקרטון 1000) יח-('מיטב</t>
  </si>
  <si>
    <t>קטשופ לחיץ 750 ג 'מתוק-אוסם(6929376)</t>
  </si>
  <si>
    <t>קוסקוס אינסטנט 500 ג-SIPA MARTINO-'ייביח</t>
  </si>
  <si>
    <t>פתיתים אפויים בן גוריון500 ג-ייבואU(risone)-יח</t>
  </si>
  <si>
    <t>פתיתי תפו"א בשק 25 ק"ג בית יוסף כשלפ-לויאיח</t>
  </si>
  <si>
    <t>פתיבר 10) יח 175*'ג-('אוילום-ייבוא</t>
  </si>
  <si>
    <t>פריכיות אורז מלא ל.גלוטן 100 ג-'אלומה-אליא</t>
  </si>
  <si>
    <t>פסטה ייבוא מסולסלים 500 גnova-MUTLU-'</t>
  </si>
  <si>
    <t>פלאפל" אמיתי20)"ג 5-('ק"ג-חמים וטעים</t>
  </si>
  <si>
    <t>פיתה רגילה ביתי5) יח100*ג)-(ת.נ-(מ.דגנית5)מארז</t>
  </si>
  <si>
    <t>פיטריות חתוכות-A9 תומר</t>
  </si>
  <si>
    <t>עוגיות קפה 4) יח 500*'ג-('ברמן</t>
  </si>
  <si>
    <t>עוגיות כתר ריבה תות 4) יח 500*'ג-('ברמן</t>
  </si>
  <si>
    <t>עוגיות וניל 4) יח 500*'ג-('ברמן</t>
  </si>
  <si>
    <t>עוגה מוכנה שמרים עם קרם שוקולד 400 ג-'אחיח</t>
  </si>
  <si>
    <t>עוגה מוכנה שוקולד 350 ג-'אחווה(306350)</t>
  </si>
  <si>
    <t>עוגה מוכנה שוקו צ'יפס 350 ג-'אחווה304350)יח</t>
  </si>
  <si>
    <t>עוגה מוכנה וניל 350 ג-'אחווה(300350)</t>
  </si>
  <si>
    <t>עוגה מ.א) מאפינס (שוקולד 24) יח-('אחווה</t>
  </si>
  <si>
    <t>עדשים ירוקות 1 ק"ג-ייבואmemisuglo-TAT-</t>
  </si>
  <si>
    <t>עגבניות מרוסקות-A10 יכין-זנלכל</t>
  </si>
  <si>
    <t>סלט מטבוחה 3 ק"ג מרוקאית-טיב השדה259)</t>
  </si>
  <si>
    <t>סלט כרוב אדום במיונז 3 ק"ג בד"צ עד"ח-טיב היח</t>
  </si>
  <si>
    <t>סלט טחינה 400 ג-'אחלה-שטראוס(327041)</t>
  </si>
  <si>
    <t>סלט חציל מזרחי 3 ק"ג ל.חשש-טיב השדה65)יח</t>
  </si>
  <si>
    <t>סלט חומוס 750 ג -'אחלה-שטראוס(320400)</t>
  </si>
  <si>
    <t>סירופ 4 ל 'פטל-עדן חלבה</t>
  </si>
  <si>
    <t>סילאן 900 ג-'טעמי הגליל</t>
  </si>
  <si>
    <t>סוכר 1 ק"ג-STUDEN-שטודן</t>
  </si>
  <si>
    <t>נקניקיות צימחיות 1 ק"ג בד"צ-זוגלובק(10705)יח</t>
  </si>
  <si>
    <t>נקניקיות נאש 70 ג 'מוסדי 2.5) ק"ג-(זוגלובק3)יח</t>
  </si>
  <si>
    <t>נקניק פסטרמה+תה מעושן במארז 800 ג-'זוגליח</t>
  </si>
  <si>
    <t>נקניק פסטרמה+סלמי במארז800 ג-'ט.צבי-תנומארז</t>
  </si>
  <si>
    <t>נקניק פסטרמה+סלמי במארז800 ג חלק מחפומארז</t>
  </si>
  <si>
    <t>נקניק פסטרמה כפרית אפוי לח פרוס 400 ג-'ט</t>
  </si>
  <si>
    <t>משקה קל ענבים 1.5 ל-'פרימור</t>
  </si>
  <si>
    <t>משקה מוגז קוקה קולה בבקבוק 1.5 ל-'החב 'היח</t>
  </si>
  <si>
    <t>משקה מוגז קוקה קולה ZERO בבקבוק 1.5 ל</t>
  </si>
  <si>
    <t>מעדן קרלו שוקו 125 מ"ל-EXPORT תנובה2)</t>
  </si>
  <si>
    <t>מעדן קרלו וניל 125 מ"ל-EXPORT תנובה60)יח</t>
  </si>
  <si>
    <t>מעדן סויה שוקולד 125 -2% ג-'תנובה62800)</t>
  </si>
  <si>
    <t>מעדן סויה במתיקות מעודנת 125 ג-'תנובה94)יח</t>
  </si>
  <si>
    <t>מעדן סויה BIO תות 125 -1.6% ג-'תנובה87)</t>
  </si>
  <si>
    <t>מעדן סויה BIO אפרסק 125 -1.6% ג-'תנובה)יח</t>
  </si>
  <si>
    <t>מנה מוכנה מבושלת שניצל-פרבר</t>
  </si>
  <si>
    <t>מנה מוכנה מבושלת שניצלונים-נזיד</t>
  </si>
  <si>
    <t>מנה מוכנה מבושלת שניצל צמחי-פרבר</t>
  </si>
  <si>
    <t>מנה מוכנה מבושלת שווארמה-נזיד</t>
  </si>
  <si>
    <t>מנה מוכנה מבושלת קציצות עוף-פרבר</t>
  </si>
  <si>
    <t>מנה מוכנה מבושלת קציצות עוף-נזיד</t>
  </si>
  <si>
    <t>מנה מוכנה מבושלת קציצות בקר-נזיד</t>
  </si>
  <si>
    <t>מנה מוכנה מבושלת קציצות בקר-חוויה</t>
  </si>
  <si>
    <t>מנה מוכנה מבושלת קוביות עוף-נזיד</t>
  </si>
  <si>
    <t>מנה מוכנה מבושלת קובה מטוגן-פרבר</t>
  </si>
  <si>
    <t>מנה מוכנה מבושלת צמחוני-נזיד</t>
  </si>
  <si>
    <t>מנה מוכנה מבושלת צמחוני-חוויה</t>
  </si>
  <si>
    <t>מנה מוכנה מבושלת צליאק טבעוני-נזיד</t>
  </si>
  <si>
    <t>מנה מוכנה מבושלת ללא גלוטן-פרבר</t>
  </si>
  <si>
    <t>מנה מוכנה מבושלת ללא גלוטן-נזיד</t>
  </si>
  <si>
    <t>מנה מוכנה מבושלת ללא גלוטן-חוויה</t>
  </si>
  <si>
    <t>מנה מוכנה מבושלת טבעוני-פרבר</t>
  </si>
  <si>
    <t>מנה מוכנה מבושלת טבעוני-נזיד</t>
  </si>
  <si>
    <t>מנה מוכנה מבושלת טבעוני-חוויה</t>
  </si>
  <si>
    <t>מלפפון במלח-(7-9)A2 שימורי המרכז</t>
  </si>
  <si>
    <t>מלפפון במלח-(30-36)A10 שימורי המרכז</t>
  </si>
  <si>
    <t>מיץ ענבים 750 מ"ל תירוש מהדרין-הגפן-הכורמיח</t>
  </si>
  <si>
    <t>לימון משומר 2 ל 'עסיס-אוסם(12326707)</t>
  </si>
  <si>
    <t>לחמניה ל.גלוטן סנדוויץ 8) יח 650 ('גFREE-'</t>
  </si>
  <si>
    <t>לחמניה המבורגר חתוך לרשת60 ג)-ת.נ-(מ.דגיח</t>
  </si>
  <si>
    <t>לחמניה אצבע 10) יח 75*'ג)-('ת.נ-(מ.דגנית8)</t>
  </si>
  <si>
    <t>לחם חיטה מלא קל 750 ג-'מ.דגנית(142)</t>
  </si>
  <si>
    <t>לחם אחיד פרוס עין בר 750 ג)-'ת.נ-(מ.דגנית)</t>
  </si>
  <si>
    <t>לחם אחיד 750 ג)-'ת.נ-(מ.דגנית(101)</t>
  </si>
  <si>
    <t>לביבות לטקס תפו"א ארוז 2 ק"ג-אוסם27583)</t>
  </si>
  <si>
    <t>לאבנה פיראוס 250 -5% ג-'תנובה(4137809)יח</t>
  </si>
  <si>
    <t>כורכום 1 ק"ג-ברמן</t>
  </si>
  <si>
    <t>ירק ארוז שטוף-עגבניה 1 ק"ג-נזיד</t>
  </si>
  <si>
    <t>ירק ארוז שטוף-מלפפון 1 ק"ג-נזיד</t>
  </si>
  <si>
    <t>יוגורט לבן 3 -4% ל-'תנובה(45771)</t>
  </si>
  <si>
    <t>טחינה גולמית מ.א .בקרטון 60) יח-('פוגל</t>
  </si>
  <si>
    <t>טחינה גולמית 500 ג 'שומשום מלא-אחווה</t>
  </si>
  <si>
    <t>טונה בשמן 95 ג-'ויליגר-נטו</t>
  </si>
  <si>
    <t>טונה בשמן 900 ג 'מוסדי-פסיפיקו</t>
  </si>
  <si>
    <t>טונה בפאוץ 2 ק"ג בשמן נתחים-ויליגר-נטו466)יח</t>
  </si>
  <si>
    <t>חמאת בוטנים 510 ג-'תומר</t>
  </si>
  <si>
    <t>חלה רגילה 500 ג)-'מוסדות &amp; ת.נ-(.מ.דגנית0)יח</t>
  </si>
  <si>
    <t>חלב סויה במתיקות מופחתת בקרטון 1 ל-'תנוביח</t>
  </si>
  <si>
    <t>חלב בקרטון 1 -3% ל-'תנובה(42442)</t>
  </si>
  <si>
    <t>חומוס גרעינים משומר-A2 תמי-שימורי המרכז</t>
  </si>
  <si>
    <t>זיתים חרוזית ירוק-A9 שימורי המרכז</t>
  </si>
  <si>
    <t>זיתים חרוזית ירוק-A2 שימורי המרכז</t>
  </si>
  <si>
    <t>וופל שוקו 200 ג-'מנעמים</t>
  </si>
  <si>
    <t>וופל מ.א .במארז20) ג40*יח (מצופה שוקולד-ממארז</t>
  </si>
  <si>
    <t>המבורגר בקר 165 ג 'ביג בתפז 'חלק-זוגלובק</t>
  </si>
  <si>
    <t>המבורגר בקר 100 ג 'בתפז-'זהר בשר53338)ק"ג</t>
  </si>
  <si>
    <t>גרנולה 1 ק"ג-ח.מן הטבע)דוידוביץ(</t>
  </si>
  <si>
    <t>גבינת קוטג 'בגביע 250 -5% ג 'מהדרין-תנובה</t>
  </si>
  <si>
    <t>גבינת קוטג 250 -5% 'ג-'שטראוס11194246)</t>
  </si>
  <si>
    <t>גבינת עמק פרוס 400 -28% ג 'מעדניה-תנובה</t>
  </si>
  <si>
    <t>גבינה צהובה פרוסה 400 -27% ג-'ריץ-'נטו</t>
  </si>
  <si>
    <t>גבינה מותכת חורש 16) 25% יח 15*'ג-('תנוב</t>
  </si>
  <si>
    <t>גבינה לבנה בשקית 2 -5% ק"ג מהדרין-תנובה</t>
  </si>
  <si>
    <t>גבינה לבנה בגביע 250 -5% ג 'בד"צ-תנובה1)</t>
  </si>
  <si>
    <t>גבינה לבנה 500 -5% ג 'מהדרין-תנובה7800)</t>
  </si>
  <si>
    <t>בשר בקר טחון 1 ק"ג טהור-זהר בשר927199)ק"ג</t>
  </si>
  <si>
    <t>במבה שוש 56) יח 25*'ג-('עלית-שטראוס</t>
  </si>
  <si>
    <t>ביצה שלוקה בדלי 10 ק"ג-צ'אם</t>
  </si>
  <si>
    <t>ביצה- M מארז 12) יח-('לסר</t>
  </si>
  <si>
    <t>בייגלה 400 ג 'שמיניות עם מלח-אם החיטה</t>
  </si>
  <si>
    <t>בהרט 1 ק"ג-ברמן</t>
  </si>
  <si>
    <t>איטריות אורז 400 ג5 ממ-מזרח ומערב</t>
  </si>
  <si>
    <t>אורז 1 ק"ג לבן ארוך מוסדי מהדרין-סוגת0006)יח</t>
  </si>
  <si>
    <t>אבקת שום 1 ק"ג-ברמן</t>
  </si>
  <si>
    <t>א .מרק בול עוף 1 ק"ג-אוסם(6917687)</t>
  </si>
  <si>
    <t>סה"כ בהזמנה</t>
  </si>
  <si>
    <t>ערב קטן 315</t>
  </si>
  <si>
    <t>המבורגר בקר</t>
  </si>
  <si>
    <t>165 ג' לאדם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</si>
</sst>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#\ ???/???"/>
    <numFmt numFmtId="166" formatCode="_ [$₪-40D]\ * #,##0.00_ ;_ [$₪-40D]\ * \-#,##0.00_ ;_ [$₪-40D]\ * &quot;-&quot;??_ ;_ @_ "/>
    <numFmt numFmtId="167" formatCode="[Black]0.00;[Red]\-0.00;[Red]0.00"/>
    <numFmt numFmtId="168" formatCode="0.0"/>
    <numFmt numFmtId="169" formatCode="_ &quot;₪&quot;\ * #,##0.0000_ ;_ &quot;₪&quot;\ * \-#,##0.0000_ ;_ &quot;₪&quot;\ * &quot;-&quot;??_ ;_ @_ "/>
  </numFmts>
  <fonts count="6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sz val="10"/>
      <color indexed="8"/>
      <name val="Arial (Hebrew)"/>
    </font>
    <font>
      <sz val="10"/>
      <color indexed="8"/>
      <name val="MS Sans Serif"/>
      <family val="2"/>
      <charset val="177"/>
    </font>
    <font>
      <sz val="11"/>
      <color indexed="8"/>
      <name val="Arial"/>
      <family val="2"/>
      <scheme val="minor"/>
    </font>
    <font>
      <sz val="10"/>
      <color indexed="8"/>
      <name val="Arial (Hebrew)"/>
      <charset val="177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/>
      <sz val="11"/>
      <color theme="10"/>
      <name val="Arial"/>
      <family val="2"/>
      <charset val="177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sz val="10"/>
      <color theme="1"/>
      <name val="Calibri"/>
      <family val="2"/>
    </font>
    <font>
      <u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color rgb="FFFF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2"/>
      <name val="David Bold"/>
      <family val="2"/>
    </font>
    <font>
      <sz val="16"/>
      <name val="David"/>
      <family val="2"/>
    </font>
    <font>
      <sz val="13"/>
      <name val="Arial Bold"/>
      <family val="2"/>
    </font>
    <font>
      <sz val="9"/>
      <name val="Arial"/>
    </font>
    <font>
      <b/>
      <sz val="10"/>
      <color indexed="8"/>
      <name val="Calibri"/>
      <family val="2"/>
    </font>
    <font>
      <sz val="10"/>
      <color theme="0"/>
      <name val="Arial Bold"/>
      <family val="2"/>
    </font>
    <font>
      <sz val="12"/>
      <name val="David Bold"/>
      <charset val="177"/>
    </font>
    <font>
      <sz val="12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theme="7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5" fillId="0" borderId="0"/>
    <xf numFmtId="0" fontId="2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0" borderId="0"/>
    <xf numFmtId="0" fontId="10" fillId="10" borderId="0" applyNumberFormat="0" applyBorder="0" applyAlignment="0" applyProtection="0"/>
    <xf numFmtId="41" fontId="8" fillId="0" borderId="0" applyFont="0" applyFill="0" applyBorder="0" applyAlignment="0" applyProtection="0"/>
    <xf numFmtId="0" fontId="9" fillId="9" borderId="26" applyNumberFormat="0" applyAlignment="0" applyProtection="0"/>
    <xf numFmtId="44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8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3" borderId="0" xfId="0" applyNumberForma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1" fontId="11" fillId="3" borderId="28" xfId="1" applyNumberFormat="1" applyFont="1" applyFill="1" applyBorder="1" applyAlignment="1">
      <alignment horizontal="right" vertical="center"/>
    </xf>
    <xf numFmtId="165" fontId="11" fillId="0" borderId="28" xfId="1" applyNumberFormat="1" applyFont="1" applyFill="1" applyBorder="1" applyAlignment="1">
      <alignment horizontal="right" vertical="center"/>
    </xf>
    <xf numFmtId="0" fontId="11" fillId="13" borderId="29" xfId="1" applyFont="1" applyFill="1" applyBorder="1" applyAlignment="1">
      <alignment horizontal="right" vertical="center"/>
    </xf>
    <xf numFmtId="1" fontId="11" fillId="13" borderId="29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12" fillId="14" borderId="30" xfId="1" applyFont="1" applyFill="1" applyBorder="1" applyAlignment="1">
      <alignment horizontal="right" vertical="center"/>
    </xf>
    <xf numFmtId="0" fontId="12" fillId="14" borderId="28" xfId="1" applyFont="1" applyFill="1" applyBorder="1" applyAlignment="1">
      <alignment horizontal="right" vertical="center"/>
    </xf>
    <xf numFmtId="0" fontId="11" fillId="14" borderId="28" xfId="1" applyFont="1" applyFill="1" applyBorder="1" applyAlignment="1">
      <alignment horizontal="right" vertical="center"/>
    </xf>
    <xf numFmtId="0" fontId="11" fillId="14" borderId="28" xfId="1" applyFont="1" applyFill="1" applyBorder="1" applyAlignment="1">
      <alignment horizontal="right" vertical="center" wrapText="1"/>
    </xf>
    <xf numFmtId="0" fontId="13" fillId="14" borderId="28" xfId="1" applyFont="1" applyFill="1" applyBorder="1" applyAlignment="1">
      <alignment horizontal="right" vertical="center"/>
    </xf>
    <xf numFmtId="0" fontId="13" fillId="14" borderId="34" xfId="1" applyFont="1" applyFill="1" applyBorder="1" applyAlignment="1">
      <alignment horizontal="right" vertical="center"/>
    </xf>
    <xf numFmtId="0" fontId="11" fillId="14" borderId="34" xfId="1" applyFont="1" applyFill="1" applyBorder="1" applyAlignment="1">
      <alignment horizontal="right" vertical="center"/>
    </xf>
    <xf numFmtId="0" fontId="11" fillId="14" borderId="30" xfId="1" applyFont="1" applyFill="1" applyBorder="1" applyAlignment="1">
      <alignment horizontal="right" vertical="center"/>
    </xf>
    <xf numFmtId="0" fontId="14" fillId="4" borderId="22" xfId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15" fillId="14" borderId="28" xfId="1" applyFont="1" applyFill="1" applyBorder="1" applyAlignment="1">
      <alignment horizontal="center" vertical="center"/>
    </xf>
    <xf numFmtId="0" fontId="11" fillId="16" borderId="28" xfId="1" applyFont="1" applyFill="1" applyBorder="1" applyAlignment="1">
      <alignment horizontal="right" vertical="center"/>
    </xf>
    <xf numFmtId="165" fontId="11" fillId="16" borderId="28" xfId="1" applyNumberFormat="1" applyFont="1" applyFill="1" applyBorder="1" applyAlignment="1">
      <alignment horizontal="right" vertical="center"/>
    </xf>
    <xf numFmtId="1" fontId="11" fillId="16" borderId="28" xfId="1" applyNumberFormat="1" applyFont="1" applyFill="1" applyBorder="1" applyAlignment="1">
      <alignment horizontal="right" vertical="center"/>
    </xf>
    <xf numFmtId="0" fontId="11" fillId="16" borderId="0" xfId="1" applyFont="1" applyFill="1" applyBorder="1" applyAlignment="1">
      <alignment horizontal="right" vertical="center"/>
    </xf>
    <xf numFmtId="166" fontId="16" fillId="0" borderId="0" xfId="4" applyNumberFormat="1" applyFont="1" applyFill="1" applyBorder="1" applyAlignment="1">
      <alignment horizontal="right" wrapText="1"/>
    </xf>
    <xf numFmtId="0" fontId="16" fillId="0" borderId="0" xfId="5" applyFont="1" applyFill="1" applyBorder="1" applyAlignment="1">
      <alignment horizontal="right" wrapText="1"/>
    </xf>
    <xf numFmtId="0" fontId="16" fillId="0" borderId="0" xfId="0" applyNumberFormat="1" applyFont="1" applyFill="1" applyBorder="1" applyAlignment="1">
      <alignment horizontal="right" wrapText="1"/>
    </xf>
    <xf numFmtId="0" fontId="14" fillId="15" borderId="4" xfId="1" applyFont="1" applyFill="1" applyBorder="1" applyAlignment="1" applyProtection="1">
      <alignment horizontal="right" vertical="center"/>
      <protection locked="0"/>
    </xf>
    <xf numFmtId="0" fontId="14" fillId="15" borderId="19" xfId="1" applyFont="1" applyFill="1" applyBorder="1" applyAlignment="1" applyProtection="1">
      <alignment horizontal="right" vertical="center"/>
      <protection locked="0"/>
    </xf>
    <xf numFmtId="0" fontId="12" fillId="13" borderId="29" xfId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wrapText="1"/>
    </xf>
    <xf numFmtId="0" fontId="19" fillId="0" borderId="0" xfId="5" applyFont="1" applyFill="1" applyBorder="1" applyAlignment="1">
      <alignment horizontal="right" wrapText="1"/>
    </xf>
    <xf numFmtId="2" fontId="19" fillId="0" borderId="0" xfId="5" applyNumberFormat="1" applyFont="1" applyFill="1" applyBorder="1" applyAlignment="1">
      <alignment horizontal="right" wrapText="1"/>
    </xf>
    <xf numFmtId="167" fontId="19" fillId="0" borderId="0" xfId="5" applyNumberFormat="1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horizontal="right" wrapText="1"/>
    </xf>
    <xf numFmtId="2" fontId="16" fillId="0" borderId="0" xfId="0" applyNumberFormat="1" applyFont="1" applyFill="1" applyBorder="1" applyAlignment="1" applyProtection="1">
      <alignment horizontal="right" wrapText="1"/>
    </xf>
    <xf numFmtId="167" fontId="16" fillId="0" borderId="0" xfId="0" applyNumberFormat="1" applyFont="1" applyFill="1" applyBorder="1" applyAlignment="1" applyProtection="1">
      <alignment horizontal="right" wrapText="1"/>
    </xf>
    <xf numFmtId="1" fontId="16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166" fontId="16" fillId="0" borderId="0" xfId="4" applyNumberFormat="1" applyFont="1" applyBorder="1" applyAlignment="1">
      <alignment horizontal="right" wrapText="1"/>
    </xf>
    <xf numFmtId="0" fontId="18" fillId="11" borderId="0" xfId="5" applyNumberFormat="1" applyFont="1" applyFill="1" applyBorder="1" applyAlignment="1">
      <alignment horizontal="right" wrapText="1"/>
    </xf>
    <xf numFmtId="0" fontId="18" fillId="11" borderId="0" xfId="5" applyNumberFormat="1" applyFont="1" applyFill="1" applyBorder="1" applyAlignment="1" applyProtection="1">
      <alignment horizontal="right" wrapText="1"/>
      <protection locked="0"/>
    </xf>
    <xf numFmtId="9" fontId="0" fillId="0" borderId="0" xfId="3" applyNumberFormat="1" applyFont="1" applyBorder="1"/>
    <xf numFmtId="14" fontId="2" fillId="0" borderId="0" xfId="0" applyNumberFormat="1" applyFont="1" applyBorder="1" applyAlignment="1" applyProtection="1">
      <alignment horizontal="right"/>
      <protection locked="0"/>
    </xf>
    <xf numFmtId="14" fontId="0" fillId="0" borderId="0" xfId="0" applyNumberFormat="1" applyBorder="1"/>
    <xf numFmtId="166" fontId="0" fillId="0" borderId="0" xfId="0" applyNumberFormat="1" applyBorder="1"/>
    <xf numFmtId="0" fontId="7" fillId="0" borderId="0" xfId="0" applyFont="1" applyBorder="1"/>
    <xf numFmtId="166" fontId="7" fillId="0" borderId="0" xfId="0" applyNumberFormat="1" applyFont="1" applyBorder="1"/>
    <xf numFmtId="1" fontId="16" fillId="0" borderId="0" xfId="5" applyNumberFormat="1" applyFont="1" applyFill="1" applyBorder="1" applyAlignment="1" applyProtection="1">
      <alignment horizontal="right" wrapText="1"/>
      <protection locked="0"/>
    </xf>
    <xf numFmtId="0" fontId="0" fillId="0" borderId="1" xfId="0" applyBorder="1"/>
    <xf numFmtId="0" fontId="20" fillId="14" borderId="28" xfId="1" applyFont="1" applyFill="1" applyBorder="1" applyAlignment="1" applyProtection="1">
      <alignment horizontal="right" vertical="center" wrapText="1"/>
      <protection locked="0"/>
    </xf>
    <xf numFmtId="166" fontId="3" fillId="0" borderId="9" xfId="0" applyNumberFormat="1" applyFont="1" applyBorder="1" applyAlignment="1">
      <alignment horizontal="right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3" fillId="0" borderId="1" xfId="4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44" fontId="19" fillId="0" borderId="0" xfId="5" applyNumberFormat="1" applyFont="1" applyFill="1" applyBorder="1" applyAlignment="1">
      <alignment horizontal="center" wrapText="1"/>
    </xf>
    <xf numFmtId="44" fontId="0" fillId="0" borderId="0" xfId="0" applyNumberFormat="1" applyAlignment="1">
      <alignment horizontal="center"/>
    </xf>
    <xf numFmtId="44" fontId="3" fillId="0" borderId="1" xfId="4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4" fillId="0" borderId="17" xfId="0" applyNumberFormat="1" applyFont="1" applyBorder="1" applyAlignment="1">
      <alignment horizontal="right" vertical="center"/>
    </xf>
    <xf numFmtId="166" fontId="21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19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44" fontId="19" fillId="0" borderId="0" xfId="9" applyFont="1" applyFill="1" applyBorder="1" applyAlignment="1">
      <alignment horizontal="right" wrapText="1"/>
    </xf>
    <xf numFmtId="44" fontId="19" fillId="0" borderId="0" xfId="9" applyFont="1" applyFill="1" applyBorder="1" applyAlignment="1">
      <alignment horizontal="center" wrapText="1"/>
    </xf>
    <xf numFmtId="44" fontId="0" fillId="0" borderId="0" xfId="9" applyFont="1" applyAlignment="1">
      <alignment horizontal="center"/>
    </xf>
    <xf numFmtId="44" fontId="0" fillId="0" borderId="0" xfId="9" applyFont="1" applyBorder="1" applyAlignment="1">
      <alignment horizontal="center"/>
    </xf>
    <xf numFmtId="44" fontId="0" fillId="0" borderId="0" xfId="9" applyFont="1" applyBorder="1"/>
    <xf numFmtId="44" fontId="3" fillId="0" borderId="0" xfId="9" applyFont="1" applyBorder="1" applyAlignment="1">
      <alignment horizontal="center" vertical="center"/>
    </xf>
    <xf numFmtId="44" fontId="3" fillId="0" borderId="0" xfId="9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3" fillId="0" borderId="0" xfId="0" applyFont="1" applyBorder="1" applyAlignment="1">
      <alignment horizontal="right" vertical="center"/>
    </xf>
    <xf numFmtId="0" fontId="0" fillId="0" borderId="20" xfId="0" applyBorder="1"/>
    <xf numFmtId="0" fontId="3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0" fillId="0" borderId="20" xfId="0" applyFill="1" applyBorder="1" applyAlignment="1" applyProtection="1">
      <alignment horizontal="right" vertical="center"/>
      <protection locked="0"/>
    </xf>
    <xf numFmtId="0" fontId="11" fillId="8" borderId="28" xfId="1" applyFont="1" applyFill="1" applyBorder="1" applyAlignment="1" applyProtection="1">
      <alignment horizontal="right" vertical="center"/>
      <protection locked="0"/>
    </xf>
    <xf numFmtId="0" fontId="11" fillId="8" borderId="0" xfId="1" applyFont="1" applyFill="1" applyBorder="1" applyAlignment="1" applyProtection="1">
      <alignment horizontal="right" vertical="center"/>
      <protection locked="0"/>
    </xf>
    <xf numFmtId="0" fontId="11" fillId="14" borderId="28" xfId="1" applyFont="1" applyFill="1" applyBorder="1" applyAlignment="1" applyProtection="1">
      <alignment horizontal="right" vertical="center" wrapText="1"/>
      <protection locked="0"/>
    </xf>
    <xf numFmtId="0" fontId="12" fillId="14" borderId="28" xfId="1" applyFont="1" applyFill="1" applyBorder="1" applyAlignment="1" applyProtection="1">
      <alignment horizontal="right" vertical="center" wrapText="1"/>
      <protection locked="0"/>
    </xf>
    <xf numFmtId="0" fontId="12" fillId="14" borderId="28" xfId="1" applyFont="1" applyFill="1" applyBorder="1" applyAlignment="1">
      <alignment horizontal="right" vertical="center" wrapText="1"/>
    </xf>
    <xf numFmtId="0" fontId="12" fillId="14" borderId="30" xfId="1" applyFont="1" applyFill="1" applyBorder="1" applyAlignment="1" applyProtection="1">
      <alignment horizontal="right" vertical="center" wrapText="1"/>
      <protection locked="0"/>
    </xf>
    <xf numFmtId="0" fontId="12" fillId="14" borderId="30" xfId="1" applyFont="1" applyFill="1" applyBorder="1" applyAlignment="1">
      <alignment horizontal="right" vertical="center" wrapText="1"/>
    </xf>
    <xf numFmtId="1" fontId="11" fillId="13" borderId="29" xfId="1" applyNumberFormat="1" applyFont="1" applyFill="1" applyBorder="1" applyAlignment="1" applyProtection="1">
      <alignment horizontal="right" vertical="center" wrapText="1"/>
      <protection locked="0"/>
    </xf>
    <xf numFmtId="1" fontId="11" fillId="13" borderId="29" xfId="1" applyNumberFormat="1" applyFont="1" applyFill="1" applyBorder="1" applyAlignment="1">
      <alignment horizontal="right" vertical="center" wrapText="1"/>
    </xf>
    <xf numFmtId="1" fontId="11" fillId="3" borderId="28" xfId="1" applyNumberFormat="1" applyFont="1" applyFill="1" applyBorder="1" applyAlignment="1">
      <alignment horizontal="right" vertical="center" wrapText="1"/>
    </xf>
    <xf numFmtId="1" fontId="11" fillId="16" borderId="28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4" fillId="17" borderId="39" xfId="1" applyFont="1" applyFill="1" applyBorder="1" applyAlignment="1">
      <alignment horizontal="center" vertical="center"/>
    </xf>
    <xf numFmtId="0" fontId="14" fillId="17" borderId="40" xfId="1" applyFont="1" applyFill="1" applyBorder="1" applyAlignment="1">
      <alignment horizontal="center" vertical="center"/>
    </xf>
    <xf numFmtId="0" fontId="14" fillId="17" borderId="41" xfId="1" applyFont="1" applyFill="1" applyBorder="1" applyAlignment="1">
      <alignment horizontal="center" vertical="center"/>
    </xf>
    <xf numFmtId="0" fontId="0" fillId="18" borderId="0" xfId="0" applyFill="1" applyBorder="1"/>
    <xf numFmtId="0" fontId="11" fillId="14" borderId="28" xfId="1" applyFont="1" applyFill="1" applyBorder="1" applyAlignment="1" applyProtection="1">
      <alignment horizontal="center" vertical="center" wrapText="1"/>
      <protection locked="0"/>
    </xf>
    <xf numFmtId="0" fontId="20" fillId="14" borderId="28" xfId="1" applyFont="1" applyFill="1" applyBorder="1" applyAlignment="1" applyProtection="1">
      <alignment horizontal="center" vertical="center" wrapText="1"/>
      <protection locked="0"/>
    </xf>
    <xf numFmtId="0" fontId="12" fillId="14" borderId="28" xfId="1" applyFont="1" applyFill="1" applyBorder="1" applyAlignment="1" applyProtection="1">
      <alignment horizontal="center" vertical="center" wrapText="1"/>
      <protection locked="0"/>
    </xf>
    <xf numFmtId="0" fontId="12" fillId="14" borderId="30" xfId="1" applyFont="1" applyFill="1" applyBorder="1" applyAlignment="1" applyProtection="1">
      <alignment horizontal="center" vertical="center" wrapText="1"/>
      <protection locked="0"/>
    </xf>
    <xf numFmtId="1" fontId="12" fillId="13" borderId="29" xfId="1" applyNumberFormat="1" applyFont="1" applyFill="1" applyBorder="1" applyAlignment="1" applyProtection="1">
      <alignment horizontal="center" vertical="center" wrapText="1"/>
      <protection locked="0"/>
    </xf>
    <xf numFmtId="1" fontId="11" fillId="13" borderId="29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8" xfId="1" applyNumberFormat="1" applyFont="1" applyFill="1" applyBorder="1" applyAlignment="1">
      <alignment horizontal="center" vertical="center"/>
    </xf>
    <xf numFmtId="1" fontId="11" fillId="3" borderId="28" xfId="1" applyNumberFormat="1" applyFont="1" applyFill="1" applyBorder="1" applyAlignment="1">
      <alignment horizontal="center" vertical="center" wrapText="1"/>
    </xf>
    <xf numFmtId="1" fontId="11" fillId="16" borderId="28" xfId="1" applyNumberFormat="1" applyFont="1" applyFill="1" applyBorder="1" applyAlignment="1">
      <alignment horizontal="center" vertical="center" wrapText="1"/>
    </xf>
    <xf numFmtId="0" fontId="11" fillId="14" borderId="28" xfId="1" applyFont="1" applyFill="1" applyBorder="1" applyAlignment="1">
      <alignment horizontal="center" vertical="center"/>
    </xf>
    <xf numFmtId="0" fontId="12" fillId="14" borderId="28" xfId="1" applyFont="1" applyFill="1" applyBorder="1" applyAlignment="1">
      <alignment horizontal="center" vertical="center"/>
    </xf>
    <xf numFmtId="0" fontId="12" fillId="14" borderId="30" xfId="1" applyFont="1" applyFill="1" applyBorder="1" applyAlignment="1">
      <alignment horizontal="center" vertical="center"/>
    </xf>
    <xf numFmtId="1" fontId="12" fillId="13" borderId="29" xfId="1" applyNumberFormat="1" applyFont="1" applyFill="1" applyBorder="1" applyAlignment="1">
      <alignment horizontal="center" vertical="center"/>
    </xf>
    <xf numFmtId="0" fontId="11" fillId="13" borderId="30" xfId="1" applyFont="1" applyFill="1" applyBorder="1" applyAlignment="1">
      <alignment horizontal="center" vertical="center"/>
    </xf>
    <xf numFmtId="1" fontId="12" fillId="12" borderId="33" xfId="1" applyNumberFormat="1" applyFont="1" applyFill="1" applyBorder="1" applyAlignment="1">
      <alignment horizontal="center" vertical="center"/>
    </xf>
    <xf numFmtId="1" fontId="12" fillId="16" borderId="28" xfId="1" applyNumberFormat="1" applyFont="1" applyFill="1" applyBorder="1" applyAlignment="1">
      <alignment horizontal="center" vertical="center"/>
    </xf>
    <xf numFmtId="1" fontId="12" fillId="16" borderId="42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right" vertical="center"/>
    </xf>
    <xf numFmtId="165" fontId="11" fillId="0" borderId="34" xfId="1" applyNumberFormat="1" applyFont="1" applyFill="1" applyBorder="1" applyAlignment="1">
      <alignment horizontal="right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right" vertical="center"/>
    </xf>
    <xf numFmtId="0" fontId="3" fillId="8" borderId="0" xfId="0" applyFont="1" applyFill="1" applyBorder="1" applyAlignment="1" applyProtection="1">
      <alignment horizontal="right" vertical="center"/>
      <protection locked="0"/>
    </xf>
    <xf numFmtId="0" fontId="11" fillId="16" borderId="30" xfId="1" applyFont="1" applyFill="1" applyBorder="1" applyAlignment="1">
      <alignment horizontal="right" vertical="center"/>
    </xf>
    <xf numFmtId="0" fontId="11" fillId="16" borderId="43" xfId="1" applyFont="1" applyFill="1" applyBorder="1" applyAlignment="1">
      <alignment horizontal="center" vertical="center"/>
    </xf>
    <xf numFmtId="0" fontId="11" fillId="16" borderId="44" xfId="1" applyFont="1" applyFill="1" applyBorder="1" applyAlignment="1">
      <alignment horizontal="center" vertical="center"/>
    </xf>
    <xf numFmtId="0" fontId="22" fillId="0" borderId="0" xfId="0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right" vertical="center"/>
    </xf>
    <xf numFmtId="0" fontId="22" fillId="0" borderId="9" xfId="0" applyFont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Font="1"/>
    <xf numFmtId="0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/>
    </xf>
    <xf numFmtId="0" fontId="22" fillId="0" borderId="5" xfId="0" applyFont="1" applyFill="1" applyBorder="1" applyAlignment="1" applyProtection="1">
      <alignment horizontal="center" vertical="center"/>
    </xf>
    <xf numFmtId="0" fontId="24" fillId="6" borderId="15" xfId="0" applyFont="1" applyFill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48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4" fillId="6" borderId="15" xfId="0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Fill="1" applyBorder="1" applyAlignment="1">
      <alignment horizontal="right" vertical="center"/>
    </xf>
    <xf numFmtId="0" fontId="22" fillId="0" borderId="49" xfId="0" applyFont="1" applyFill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4" fillId="6" borderId="15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9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6" borderId="19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NumberFormat="1" applyFont="1" applyAlignment="1">
      <alignment vertical="center"/>
    </xf>
    <xf numFmtId="44" fontId="22" fillId="0" borderId="0" xfId="9" applyFont="1"/>
    <xf numFmtId="44" fontId="22" fillId="0" borderId="0" xfId="9" applyFont="1" applyFill="1" applyBorder="1" applyAlignment="1">
      <alignment vertical="center"/>
    </xf>
    <xf numFmtId="0" fontId="22" fillId="0" borderId="49" xfId="0" applyFont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 readingOrder="2"/>
    </xf>
    <xf numFmtId="0" fontId="24" fillId="6" borderId="6" xfId="0" applyFont="1" applyFill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vertical="center"/>
    </xf>
    <xf numFmtId="0" fontId="22" fillId="2" borderId="48" xfId="0" applyFont="1" applyFill="1" applyBorder="1" applyAlignment="1" applyProtection="1">
      <alignment vertical="center"/>
      <protection locked="0"/>
    </xf>
    <xf numFmtId="0" fontId="22" fillId="0" borderId="48" xfId="0" applyFont="1" applyFill="1" applyBorder="1" applyAlignment="1" applyProtection="1">
      <alignment vertical="center"/>
    </xf>
    <xf numFmtId="0" fontId="22" fillId="0" borderId="48" xfId="0" applyFont="1" applyBorder="1" applyAlignment="1">
      <alignment vertical="center"/>
    </xf>
    <xf numFmtId="0" fontId="22" fillId="0" borderId="0" xfId="0" applyFont="1" applyAlignment="1" applyProtection="1">
      <alignment horizontal="center" vertical="center" readingOrder="2"/>
    </xf>
    <xf numFmtId="0" fontId="22" fillId="0" borderId="5" xfId="0" applyFont="1" applyBorder="1" applyAlignment="1" applyProtection="1">
      <alignment horizontal="center" vertical="center"/>
    </xf>
    <xf numFmtId="1" fontId="22" fillId="0" borderId="1" xfId="0" applyNumberFormat="1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/>
      <protection locked="0"/>
    </xf>
    <xf numFmtId="2" fontId="22" fillId="0" borderId="0" xfId="0" applyNumberFormat="1" applyFont="1" applyFill="1" applyBorder="1" applyAlignment="1" applyProtection="1">
      <alignment horizontal="center" vertical="center"/>
    </xf>
    <xf numFmtId="0" fontId="22" fillId="3" borderId="48" xfId="0" applyFont="1" applyFill="1" applyBorder="1" applyAlignment="1">
      <alignment vertical="center"/>
    </xf>
    <xf numFmtId="0" fontId="22" fillId="3" borderId="48" xfId="0" applyFont="1" applyFill="1" applyBorder="1" applyAlignment="1" applyProtection="1">
      <alignment vertical="center"/>
    </xf>
    <xf numFmtId="0" fontId="22" fillId="3" borderId="49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readingOrder="2"/>
    </xf>
    <xf numFmtId="0" fontId="22" fillId="0" borderId="0" xfId="0" applyFont="1" applyFill="1" applyBorder="1" applyAlignment="1" applyProtection="1">
      <alignment horizontal="center" vertical="center" readingOrder="2"/>
    </xf>
    <xf numFmtId="0" fontId="22" fillId="0" borderId="0" xfId="0" applyFont="1" applyFill="1" applyBorder="1" applyAlignment="1">
      <alignment horizontal="center" vertical="center" readingOrder="2"/>
    </xf>
    <xf numFmtId="0" fontId="22" fillId="0" borderId="0" xfId="0" applyFont="1" applyBorder="1" applyAlignment="1" applyProtection="1">
      <alignment horizontal="center" vertical="center" readingOrder="2"/>
    </xf>
    <xf numFmtId="0" fontId="25" fillId="0" borderId="0" xfId="0" applyFont="1" applyFill="1" applyBorder="1" applyAlignment="1" applyProtection="1">
      <alignment horizontal="center" vertical="center" readingOrder="2"/>
    </xf>
    <xf numFmtId="0" fontId="22" fillId="0" borderId="1" xfId="0" applyFont="1" applyBorder="1" applyAlignment="1" applyProtection="1">
      <alignment horizontal="center" vertical="center" readingOrder="2"/>
    </xf>
    <xf numFmtId="0" fontId="22" fillId="0" borderId="1" xfId="0" applyFont="1" applyBorder="1" applyAlignment="1">
      <alignment horizontal="center" vertical="center" readingOrder="2"/>
    </xf>
    <xf numFmtId="0" fontId="22" fillId="0" borderId="1" xfId="0" applyFont="1" applyFill="1" applyBorder="1" applyAlignment="1" applyProtection="1">
      <alignment horizontal="center" vertical="center" readingOrder="2"/>
    </xf>
    <xf numFmtId="0" fontId="22" fillId="0" borderId="5" xfId="0" applyFont="1" applyFill="1" applyBorder="1" applyAlignment="1" applyProtection="1">
      <alignment horizontal="center" vertical="center" readingOrder="2"/>
    </xf>
    <xf numFmtId="0" fontId="22" fillId="0" borderId="0" xfId="0" applyFont="1" applyAlignment="1">
      <alignment horizontal="center" vertical="center" readingOrder="2"/>
    </xf>
    <xf numFmtId="0" fontId="24" fillId="0" borderId="0" xfId="0" applyFont="1" applyFill="1" applyBorder="1" applyAlignment="1" applyProtection="1">
      <alignment horizontal="center" vertical="center" readingOrder="2"/>
    </xf>
    <xf numFmtId="0" fontId="22" fillId="0" borderId="3" xfId="0" applyFont="1" applyBorder="1" applyAlignment="1" applyProtection="1">
      <alignment horizontal="center" vertical="center" readingOrder="2"/>
    </xf>
    <xf numFmtId="0" fontId="24" fillId="6" borderId="15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4" fillId="0" borderId="3" xfId="0" applyFont="1" applyBorder="1" applyAlignment="1">
      <alignment vertical="center" readingOrder="2"/>
    </xf>
    <xf numFmtId="0" fontId="22" fillId="0" borderId="1" xfId="0" applyFont="1" applyBorder="1" applyAlignment="1">
      <alignment horizontal="right" vertical="center" readingOrder="2"/>
    </xf>
    <xf numFmtId="0" fontId="22" fillId="0" borderId="1" xfId="0" applyFont="1" applyBorder="1" applyAlignment="1">
      <alignment vertical="center" readingOrder="2"/>
    </xf>
    <xf numFmtId="0" fontId="22" fillId="0" borderId="5" xfId="0" applyFont="1" applyBorder="1" applyAlignment="1">
      <alignment vertical="center" readingOrder="2"/>
    </xf>
    <xf numFmtId="0" fontId="22" fillId="0" borderId="5" xfId="0" applyFont="1" applyBorder="1" applyAlignment="1">
      <alignment horizontal="right" vertical="center" readingOrder="2"/>
    </xf>
    <xf numFmtId="0" fontId="24" fillId="0" borderId="3" xfId="0" applyFont="1" applyBorder="1" applyAlignment="1">
      <alignment horizontal="right" vertical="center" readingOrder="2"/>
    </xf>
    <xf numFmtId="0" fontId="24" fillId="0" borderId="3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2" fillId="3" borderId="49" xfId="0" applyFont="1" applyFill="1" applyBorder="1" applyAlignment="1">
      <alignment vertical="center"/>
    </xf>
    <xf numFmtId="0" fontId="22" fillId="0" borderId="0" xfId="0" applyFont="1" applyAlignment="1">
      <alignment horizontal="right" vertical="center" readingOrder="2"/>
    </xf>
    <xf numFmtId="0" fontId="23" fillId="0" borderId="0" xfId="0" applyFont="1" applyFill="1" applyBorder="1" applyAlignment="1">
      <alignment vertical="center" readingOrder="2"/>
    </xf>
    <xf numFmtId="0" fontId="22" fillId="0" borderId="0" xfId="0" applyFont="1" applyBorder="1" applyAlignment="1">
      <alignment vertical="center" readingOrder="2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 readingOrder="2"/>
    </xf>
    <xf numFmtId="0" fontId="22" fillId="0" borderId="0" xfId="0" applyFont="1" applyFill="1" applyBorder="1" applyAlignment="1">
      <alignment vertical="center" readingOrder="2"/>
    </xf>
    <xf numFmtId="0" fontId="23" fillId="7" borderId="0" xfId="0" applyFont="1" applyFill="1" applyBorder="1" applyAlignment="1">
      <alignment vertical="center" readingOrder="2"/>
    </xf>
    <xf numFmtId="0" fontId="23" fillId="7" borderId="0" xfId="0" applyFont="1" applyFill="1" applyBorder="1" applyAlignment="1">
      <alignment horizontal="right" vertical="center" readingOrder="2"/>
    </xf>
    <xf numFmtId="0" fontId="24" fillId="6" borderId="15" xfId="0" applyFont="1" applyFill="1" applyBorder="1" applyAlignment="1">
      <alignment horizontal="center" vertical="center" readingOrder="2"/>
    </xf>
    <xf numFmtId="0" fontId="24" fillId="0" borderId="11" xfId="0" applyFont="1" applyBorder="1" applyAlignment="1">
      <alignment horizontal="right" vertical="center" readingOrder="2"/>
    </xf>
    <xf numFmtId="0" fontId="24" fillId="0" borderId="3" xfId="0" applyFont="1" applyBorder="1" applyAlignment="1">
      <alignment horizontal="center" vertical="center" readingOrder="2"/>
    </xf>
    <xf numFmtId="0" fontId="24" fillId="0" borderId="10" xfId="0" applyFont="1" applyBorder="1" applyAlignment="1">
      <alignment vertical="center" readingOrder="2"/>
    </xf>
    <xf numFmtId="0" fontId="22" fillId="0" borderId="0" xfId="0" applyFont="1" applyBorder="1" applyAlignment="1">
      <alignment horizontal="right" vertical="center" readingOrder="2"/>
    </xf>
    <xf numFmtId="0" fontId="22" fillId="0" borderId="48" xfId="0" applyFont="1" applyBorder="1" applyAlignment="1">
      <alignment horizontal="right" vertical="center" readingOrder="2"/>
    </xf>
    <xf numFmtId="0" fontId="22" fillId="0" borderId="9" xfId="0" applyFont="1" applyBorder="1" applyAlignment="1">
      <alignment vertical="center" readingOrder="2"/>
    </xf>
    <xf numFmtId="0" fontId="22" fillId="0" borderId="0" xfId="0" applyFont="1" applyAlignment="1">
      <alignment readingOrder="2"/>
    </xf>
    <xf numFmtId="0" fontId="24" fillId="6" borderId="15" xfId="0" applyFont="1" applyFill="1" applyBorder="1" applyAlignment="1" applyProtection="1">
      <alignment horizontal="center" vertical="center" readingOrder="2"/>
      <protection locked="0"/>
    </xf>
    <xf numFmtId="0" fontId="22" fillId="0" borderId="49" xfId="0" applyFont="1" applyBorder="1" applyAlignment="1">
      <alignment horizontal="right" vertical="center" readingOrder="2"/>
    </xf>
    <xf numFmtId="0" fontId="22" fillId="0" borderId="5" xfId="0" applyFont="1" applyBorder="1" applyAlignment="1">
      <alignment horizontal="center" vertical="center" readingOrder="2"/>
    </xf>
    <xf numFmtId="0" fontId="22" fillId="0" borderId="12" xfId="0" applyFont="1" applyBorder="1" applyAlignment="1">
      <alignment vertical="center" readingOrder="2"/>
    </xf>
    <xf numFmtId="0" fontId="22" fillId="0" borderId="0" xfId="0" applyFont="1" applyAlignment="1">
      <alignment horizontal="center" readingOrder="2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 readingOrder="2"/>
    </xf>
    <xf numFmtId="0" fontId="29" fillId="0" borderId="0" xfId="0" applyNumberFormat="1" applyFont="1" applyFill="1" applyBorder="1" applyAlignment="1" applyProtection="1">
      <alignment horizontal="center" vertical="center"/>
    </xf>
    <xf numFmtId="2" fontId="22" fillId="0" borderId="1" xfId="0" applyNumberFormat="1" applyFont="1" applyBorder="1" applyAlignment="1" applyProtection="1">
      <alignment horizontal="center" vertical="center"/>
    </xf>
    <xf numFmtId="44" fontId="22" fillId="0" borderId="0" xfId="9" applyFont="1" applyAlignment="1" applyProtection="1">
      <alignment vertical="center"/>
    </xf>
    <xf numFmtId="44" fontId="22" fillId="0" borderId="0" xfId="9" applyFont="1" applyAlignment="1">
      <alignment vertical="center" readingOrder="2"/>
    </xf>
    <xf numFmtId="44" fontId="22" fillId="0" borderId="0" xfId="9" applyFont="1" applyAlignment="1">
      <alignment readingOrder="2"/>
    </xf>
    <xf numFmtId="0" fontId="22" fillId="0" borderId="0" xfId="0" applyFont="1" applyFill="1" applyBorder="1" applyAlignment="1">
      <alignment vertical="center" wrapText="1" readingOrder="2"/>
    </xf>
    <xf numFmtId="0" fontId="22" fillId="0" borderId="0" xfId="0" applyFont="1" applyFill="1" applyBorder="1" applyAlignment="1">
      <alignment horizontal="right" vertical="center" wrapText="1" readingOrder="2"/>
    </xf>
    <xf numFmtId="44" fontId="22" fillId="0" borderId="0" xfId="9" applyFont="1" applyFill="1" applyBorder="1" applyAlignment="1">
      <alignment horizontal="right" vertical="center" wrapText="1"/>
    </xf>
    <xf numFmtId="0" fontId="22" fillId="0" borderId="0" xfId="0" applyFont="1" applyAlignment="1" applyProtection="1">
      <alignment horizontal="right" vertical="center" readingOrder="2"/>
    </xf>
    <xf numFmtId="0" fontId="22" fillId="0" borderId="0" xfId="0" applyFont="1" applyAlignment="1" applyProtection="1">
      <alignment vertical="center" readingOrder="2"/>
    </xf>
    <xf numFmtId="0" fontId="23" fillId="0" borderId="0" xfId="0" applyFont="1" applyFill="1" applyBorder="1" applyAlignment="1" applyProtection="1">
      <alignment vertical="center" readingOrder="2"/>
    </xf>
    <xf numFmtId="0" fontId="28" fillId="0" borderId="0" xfId="0" applyFont="1" applyFill="1" applyBorder="1" applyAlignment="1" applyProtection="1">
      <alignment horizontal="center" vertical="center" readingOrder="2"/>
    </xf>
    <xf numFmtId="0" fontId="22" fillId="0" borderId="0" xfId="0" applyFont="1" applyFill="1" applyBorder="1" applyAlignment="1" applyProtection="1">
      <alignment vertical="center" readingOrder="2"/>
    </xf>
    <xf numFmtId="0" fontId="22" fillId="0" borderId="11" xfId="0" applyFont="1" applyBorder="1" applyAlignment="1" applyProtection="1">
      <alignment horizontal="right" vertical="center" readingOrder="2"/>
    </xf>
    <xf numFmtId="0" fontId="22" fillId="0" borderId="10" xfId="0" applyFont="1" applyBorder="1" applyAlignment="1" applyProtection="1">
      <alignment horizontal="right" vertical="center" readingOrder="2"/>
    </xf>
    <xf numFmtId="0" fontId="22" fillId="0" borderId="48" xfId="0" applyFont="1" applyBorder="1" applyAlignment="1" applyProtection="1">
      <alignment horizontal="right" vertical="center" readingOrder="2"/>
    </xf>
    <xf numFmtId="0" fontId="22" fillId="0" borderId="9" xfId="0" applyFont="1" applyBorder="1" applyAlignment="1" applyProtection="1">
      <alignment horizontal="right" vertical="center" readingOrder="2"/>
    </xf>
    <xf numFmtId="0" fontId="24" fillId="6" borderId="6" xfId="0" applyFont="1" applyFill="1" applyBorder="1" applyAlignment="1" applyProtection="1">
      <alignment horizontal="center" vertical="center" readingOrder="2"/>
    </xf>
    <xf numFmtId="0" fontId="22" fillId="2" borderId="48" xfId="0" applyFont="1" applyFill="1" applyBorder="1" applyAlignment="1" applyProtection="1">
      <alignment horizontal="right" vertical="center" readingOrder="2"/>
      <protection locked="0"/>
    </xf>
    <xf numFmtId="0" fontId="22" fillId="0" borderId="9" xfId="0" applyFont="1" applyBorder="1" applyAlignment="1" applyProtection="1">
      <alignment vertical="center" readingOrder="2"/>
    </xf>
    <xf numFmtId="0" fontId="22" fillId="2" borderId="48" xfId="0" applyFont="1" applyFill="1" applyBorder="1" applyAlignment="1">
      <alignment vertical="center" readingOrder="2"/>
    </xf>
    <xf numFmtId="0" fontId="22" fillId="0" borderId="48" xfId="0" applyFont="1" applyBorder="1" applyAlignment="1">
      <alignment vertical="center" readingOrder="2"/>
    </xf>
    <xf numFmtId="0" fontId="24" fillId="6" borderId="19" xfId="0" applyFont="1" applyFill="1" applyBorder="1" applyAlignment="1" applyProtection="1">
      <alignment horizontal="center" vertical="center" readingOrder="2"/>
    </xf>
    <xf numFmtId="0" fontId="24" fillId="6" borderId="15" xfId="0" applyFont="1" applyFill="1" applyBorder="1" applyAlignment="1" applyProtection="1">
      <alignment horizontal="center" vertical="center" readingOrder="2"/>
    </xf>
    <xf numFmtId="0" fontId="22" fillId="0" borderId="48" xfId="0" applyFont="1" applyFill="1" applyBorder="1" applyAlignment="1" applyProtection="1">
      <alignment horizontal="right" vertical="center" readingOrder="2"/>
      <protection locked="0"/>
    </xf>
    <xf numFmtId="0" fontId="22" fillId="0" borderId="9" xfId="0" applyFont="1" applyFill="1" applyBorder="1" applyAlignment="1" applyProtection="1">
      <alignment vertical="center" readingOrder="2"/>
    </xf>
    <xf numFmtId="0" fontId="22" fillId="0" borderId="48" xfId="0" applyFont="1" applyFill="1" applyBorder="1" applyAlignment="1" applyProtection="1">
      <alignment vertical="center" readingOrder="2"/>
      <protection locked="0"/>
    </xf>
    <xf numFmtId="0" fontId="22" fillId="0" borderId="48" xfId="0" applyFont="1" applyFill="1" applyBorder="1" applyAlignment="1" applyProtection="1">
      <alignment horizontal="right" vertical="center" readingOrder="2"/>
    </xf>
    <xf numFmtId="0" fontId="22" fillId="3" borderId="48" xfId="0" applyFont="1" applyFill="1" applyBorder="1" applyAlignment="1">
      <alignment vertical="center" readingOrder="2"/>
    </xf>
    <xf numFmtId="0" fontId="22" fillId="3" borderId="48" xfId="0" applyFont="1" applyFill="1" applyBorder="1" applyAlignment="1" applyProtection="1">
      <alignment horizontal="right" vertical="center" readingOrder="2"/>
    </xf>
    <xf numFmtId="0" fontId="22" fillId="3" borderId="49" xfId="0" applyFont="1" applyFill="1" applyBorder="1" applyAlignment="1" applyProtection="1">
      <alignment horizontal="right" vertical="center" readingOrder="2"/>
    </xf>
    <xf numFmtId="0" fontId="22" fillId="0" borderId="12" xfId="0" applyFont="1" applyFill="1" applyBorder="1" applyAlignment="1" applyProtection="1">
      <alignment vertical="center" readingOrder="2"/>
    </xf>
    <xf numFmtId="0" fontId="22" fillId="0" borderId="0" xfId="0" applyNumberFormat="1" applyFont="1" applyAlignment="1" applyProtection="1">
      <alignment vertical="center" readingOrder="2"/>
    </xf>
    <xf numFmtId="0" fontId="22" fillId="0" borderId="0" xfId="0" applyFont="1" applyBorder="1" applyAlignment="1" applyProtection="1">
      <alignment vertical="center" readingOrder="2"/>
    </xf>
    <xf numFmtId="44" fontId="22" fillId="0" borderId="0" xfId="9" applyFont="1" applyFill="1"/>
    <xf numFmtId="44" fontId="22" fillId="0" borderId="0" xfId="9" applyFont="1" applyAlignment="1">
      <alignment vertical="center"/>
    </xf>
    <xf numFmtId="0" fontId="22" fillId="0" borderId="4" xfId="0" applyFont="1" applyBorder="1" applyAlignment="1" applyProtection="1">
      <alignment horizontal="right"/>
      <protection locked="0"/>
    </xf>
    <xf numFmtId="0" fontId="31" fillId="0" borderId="53" xfId="10" applyFont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right" vertical="center" readingOrder="2"/>
    </xf>
    <xf numFmtId="0" fontId="22" fillId="0" borderId="0" xfId="0" applyNumberFormat="1" applyFont="1" applyFill="1" applyBorder="1" applyAlignment="1">
      <alignment horizontal="right" vertical="center" readingOrder="2"/>
    </xf>
    <xf numFmtId="0" fontId="32" fillId="0" borderId="0" xfId="0" applyNumberFormat="1" applyFont="1" applyFill="1" applyBorder="1" applyAlignment="1">
      <alignment horizontal="right" vertical="center" readingOrder="2"/>
    </xf>
    <xf numFmtId="0" fontId="22" fillId="0" borderId="0" xfId="0" applyFont="1" applyFill="1" applyAlignment="1">
      <alignment horizontal="right"/>
    </xf>
    <xf numFmtId="14" fontId="22" fillId="0" borderId="0" xfId="0" applyNumberFormat="1" applyFont="1" applyAlignment="1">
      <alignment vertical="center"/>
    </xf>
    <xf numFmtId="0" fontId="24" fillId="6" borderId="1" xfId="0" applyFont="1" applyFill="1" applyBorder="1" applyAlignment="1">
      <alignment vertical="center"/>
    </xf>
    <xf numFmtId="20" fontId="22" fillId="0" borderId="1" xfId="0" applyNumberFormat="1" applyFont="1" applyBorder="1" applyAlignment="1">
      <alignment vertical="center"/>
    </xf>
    <xf numFmtId="16" fontId="22" fillId="0" borderId="1" xfId="0" applyNumberFormat="1" applyFont="1" applyBorder="1" applyAlignment="1">
      <alignment vertical="center"/>
    </xf>
    <xf numFmtId="0" fontId="24" fillId="6" borderId="1" xfId="0" applyFont="1" applyFill="1" applyBorder="1" applyAlignment="1" applyProtection="1">
      <alignment vertical="center"/>
      <protection locked="0"/>
    </xf>
    <xf numFmtId="0" fontId="24" fillId="6" borderId="1" xfId="0" applyFont="1" applyFill="1" applyBorder="1" applyAlignment="1" applyProtection="1">
      <alignment vertical="center"/>
    </xf>
    <xf numFmtId="0" fontId="24" fillId="6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6" borderId="5" xfId="0" applyFont="1" applyFill="1" applyBorder="1" applyAlignment="1" applyProtection="1">
      <alignment horizontal="right" vertical="center"/>
    </xf>
    <xf numFmtId="14" fontId="24" fillId="6" borderId="3" xfId="0" applyNumberFormat="1" applyFont="1" applyFill="1" applyBorder="1" applyAlignment="1">
      <alignment vertical="center"/>
    </xf>
    <xf numFmtId="14" fontId="22" fillId="0" borderId="3" xfId="0" applyNumberFormat="1" applyFont="1" applyBorder="1" applyAlignment="1">
      <alignment vertical="center"/>
    </xf>
    <xf numFmtId="14" fontId="22" fillId="0" borderId="10" xfId="0" applyNumberFormat="1" applyFont="1" applyBorder="1" applyAlignment="1">
      <alignment vertical="center"/>
    </xf>
    <xf numFmtId="20" fontId="22" fillId="0" borderId="9" xfId="0" applyNumberFormat="1" applyFont="1" applyBorder="1" applyAlignment="1">
      <alignment vertical="center"/>
    </xf>
    <xf numFmtId="16" fontId="22" fillId="0" borderId="9" xfId="0" applyNumberFormat="1" applyFont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16" fontId="22" fillId="0" borderId="12" xfId="0" applyNumberFormat="1" applyFont="1" applyBorder="1" applyAlignment="1">
      <alignment vertical="center"/>
    </xf>
    <xf numFmtId="0" fontId="24" fillId="6" borderId="55" xfId="0" applyFont="1" applyFill="1" applyBorder="1" applyAlignment="1" applyProtection="1">
      <alignment horizontal="right"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2" fillId="11" borderId="59" xfId="0" applyFont="1" applyFill="1" applyBorder="1" applyAlignment="1">
      <alignment horizontal="right" vertical="center" readingOrder="2"/>
    </xf>
    <xf numFmtId="0" fontId="22" fillId="11" borderId="59" xfId="0" applyNumberFormat="1" applyFont="1" applyFill="1" applyBorder="1" applyAlignment="1">
      <alignment vertical="center" readingOrder="2"/>
    </xf>
    <xf numFmtId="0" fontId="22" fillId="11" borderId="58" xfId="0" applyFont="1" applyFill="1" applyBorder="1" applyAlignment="1">
      <alignment horizontal="right" vertical="center" readingOrder="2"/>
    </xf>
    <xf numFmtId="0" fontId="29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0" fontId="22" fillId="0" borderId="0" xfId="0" applyNumberFormat="1" applyFont="1" applyAlignment="1" applyProtection="1">
      <alignment horizontal="right" vertical="center"/>
    </xf>
    <xf numFmtId="0" fontId="32" fillId="0" borderId="0" xfId="0" applyFont="1" applyAlignment="1">
      <alignment horizontal="right" vertical="center" readingOrder="2"/>
    </xf>
    <xf numFmtId="0" fontId="32" fillId="0" borderId="0" xfId="0" applyFont="1" applyAlignment="1">
      <alignment vertical="center" readingOrder="2"/>
    </xf>
    <xf numFmtId="0" fontId="32" fillId="0" borderId="0" xfId="0" applyNumberFormat="1" applyFont="1" applyAlignment="1">
      <alignment vertical="center" readingOrder="2"/>
    </xf>
    <xf numFmtId="44" fontId="32" fillId="0" borderId="0" xfId="9" applyNumberFormat="1" applyFont="1" applyAlignment="1">
      <alignment vertical="center" readingOrder="2"/>
    </xf>
    <xf numFmtId="0" fontId="22" fillId="0" borderId="60" xfId="0" applyFont="1" applyBorder="1" applyAlignment="1">
      <alignment horizontal="right" vertical="center" readingOrder="2"/>
    </xf>
    <xf numFmtId="0" fontId="22" fillId="0" borderId="61" xfId="0" applyFont="1" applyBorder="1" applyAlignment="1">
      <alignment horizontal="right" vertical="center" readingOrder="2"/>
    </xf>
    <xf numFmtId="0" fontId="22" fillId="0" borderId="61" xfId="0" applyNumberFormat="1" applyFont="1" applyBorder="1" applyAlignment="1">
      <alignment vertical="center" readingOrder="2"/>
    </xf>
    <xf numFmtId="0" fontId="22" fillId="0" borderId="0" xfId="0" applyFont="1" applyBorder="1" applyAlignment="1" applyProtection="1">
      <alignment horizontal="right" vertical="center" readingOrder="2"/>
    </xf>
    <xf numFmtId="0" fontId="22" fillId="0" borderId="0" xfId="0" applyFont="1" applyFill="1" applyBorder="1" applyAlignment="1" applyProtection="1">
      <alignment horizontal="right" vertical="center" readingOrder="2"/>
    </xf>
    <xf numFmtId="44" fontId="22" fillId="0" borderId="0" xfId="9" applyFont="1" applyFill="1" applyBorder="1" applyAlignment="1" applyProtection="1">
      <alignment vertical="center" readingOrder="2"/>
    </xf>
    <xf numFmtId="0" fontId="23" fillId="0" borderId="0" xfId="0" applyFont="1" applyFill="1" applyBorder="1" applyAlignment="1" applyProtection="1">
      <alignment horizontal="right" vertical="center" readingOrder="2"/>
    </xf>
    <xf numFmtId="44" fontId="22" fillId="0" borderId="0" xfId="9" applyFont="1" applyBorder="1" applyAlignment="1" applyProtection="1">
      <alignment vertical="center" readingOrder="2"/>
    </xf>
    <xf numFmtId="0" fontId="25" fillId="0" borderId="0" xfId="0" applyFont="1" applyBorder="1" applyAlignment="1" applyProtection="1">
      <alignment vertical="center" readingOrder="2"/>
    </xf>
    <xf numFmtId="0" fontId="25" fillId="0" borderId="0" xfId="0" applyFont="1" applyBorder="1" applyAlignment="1" applyProtection="1">
      <alignment horizontal="center" vertical="center" readingOrder="2"/>
    </xf>
    <xf numFmtId="0" fontId="22" fillId="0" borderId="0" xfId="0" applyNumberFormat="1" applyFont="1" applyBorder="1" applyAlignment="1" applyProtection="1">
      <alignment horizontal="center" vertical="center" readingOrder="2"/>
    </xf>
    <xf numFmtId="0" fontId="22" fillId="0" borderId="0" xfId="0" applyNumberFormat="1" applyFont="1" applyBorder="1" applyAlignment="1" applyProtection="1">
      <alignment horizontal="right" vertical="center" readingOrder="2"/>
    </xf>
    <xf numFmtId="0" fontId="22" fillId="0" borderId="0" xfId="0" applyFont="1" applyAlignment="1">
      <alignment horizontal="right"/>
    </xf>
    <xf numFmtId="16" fontId="22" fillId="0" borderId="5" xfId="0" applyNumberFormat="1" applyFont="1" applyBorder="1" applyAlignment="1">
      <alignment horizontal="right" vertical="center"/>
    </xf>
    <xf numFmtId="0" fontId="22" fillId="0" borderId="5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44" fontId="22" fillId="0" borderId="0" xfId="9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4" fillId="0" borderId="0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0" xfId="0" applyFont="1" applyFill="1" applyBorder="1" applyAlignment="1">
      <alignment horizontal="center" readingOrder="2"/>
    </xf>
    <xf numFmtId="0" fontId="24" fillId="0" borderId="0" xfId="0" applyFont="1" applyFill="1" applyBorder="1" applyAlignment="1">
      <alignment horizontal="center" readingOrder="2"/>
    </xf>
    <xf numFmtId="44" fontId="22" fillId="0" borderId="0" xfId="9" applyFont="1" applyFill="1" applyBorder="1" applyAlignment="1">
      <alignment readingOrder="2"/>
    </xf>
    <xf numFmtId="0" fontId="22" fillId="0" borderId="1" xfId="0" applyFont="1" applyFill="1" applyBorder="1" applyAlignment="1">
      <alignment vertical="center"/>
    </xf>
    <xf numFmtId="0" fontId="24" fillId="0" borderId="48" xfId="0" applyFont="1" applyFill="1" applyBorder="1" applyAlignment="1" applyProtection="1">
      <alignment horizontal="right" vertical="center"/>
      <protection locked="0"/>
    </xf>
    <xf numFmtId="0" fontId="24" fillId="0" borderId="49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vertical="center"/>
    </xf>
    <xf numFmtId="168" fontId="22" fillId="0" borderId="3" xfId="0" applyNumberFormat="1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right" vertical="center"/>
    </xf>
    <xf numFmtId="0" fontId="22" fillId="2" borderId="48" xfId="0" applyFont="1" applyFill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 readingOrder="2"/>
    </xf>
    <xf numFmtId="0" fontId="25" fillId="0" borderId="0" xfId="0" applyFont="1" applyFill="1" applyBorder="1" applyAlignment="1" applyProtection="1">
      <alignment vertical="center" readingOrder="2"/>
    </xf>
    <xf numFmtId="0" fontId="22" fillId="0" borderId="17" xfId="0" applyFont="1" applyBorder="1" applyAlignment="1" applyProtection="1">
      <alignment horizontal="right"/>
      <protection locked="0"/>
    </xf>
    <xf numFmtId="0" fontId="27" fillId="11" borderId="17" xfId="5" applyNumberFormat="1" applyFont="1" applyFill="1" applyBorder="1" applyAlignment="1" applyProtection="1">
      <alignment horizontal="right" vertical="center" wrapText="1"/>
      <protection locked="0"/>
    </xf>
    <xf numFmtId="14" fontId="22" fillId="0" borderId="17" xfId="0" applyNumberFormat="1" applyFont="1" applyBorder="1" applyAlignment="1" applyProtection="1">
      <alignment horizontal="right"/>
      <protection locked="0"/>
    </xf>
    <xf numFmtId="0" fontId="27" fillId="11" borderId="17" xfId="5" applyNumberFormat="1" applyFont="1" applyFill="1" applyBorder="1" applyAlignment="1" applyProtection="1">
      <alignment horizontal="right" wrapText="1"/>
      <protection locked="0"/>
    </xf>
    <xf numFmtId="0" fontId="22" fillId="0" borderId="15" xfId="0" applyFont="1" applyBorder="1" applyAlignment="1" applyProtection="1">
      <alignment horizontal="right"/>
    </xf>
    <xf numFmtId="0" fontId="27" fillId="11" borderId="15" xfId="5" applyNumberFormat="1" applyFont="1" applyFill="1" applyBorder="1" applyAlignment="1" applyProtection="1">
      <alignment horizontal="right" vertical="center" wrapText="1"/>
    </xf>
    <xf numFmtId="0" fontId="27" fillId="11" borderId="15" xfId="5" applyNumberFormat="1" applyFont="1" applyFill="1" applyBorder="1" applyAlignment="1" applyProtection="1">
      <alignment horizontal="right" wrapText="1"/>
    </xf>
    <xf numFmtId="0" fontId="22" fillId="3" borderId="27" xfId="0" applyFont="1" applyFill="1" applyBorder="1" applyAlignment="1" applyProtection="1">
      <alignment vertical="center" readingOrder="2"/>
    </xf>
    <xf numFmtId="44" fontId="22" fillId="3" borderId="53" xfId="9" applyFont="1" applyFill="1" applyBorder="1" applyAlignment="1" applyProtection="1">
      <alignment horizontal="right" vertical="center" readingOrder="2"/>
    </xf>
    <xf numFmtId="0" fontId="22" fillId="0" borderId="0" xfId="0" applyFont="1" applyAlignment="1" applyProtection="1">
      <alignment readingOrder="2"/>
      <protection locked="0"/>
    </xf>
    <xf numFmtId="44" fontId="24" fillId="0" borderId="0" xfId="9" applyFont="1" applyFill="1" applyBorder="1" applyAlignment="1">
      <alignment readingOrder="2"/>
    </xf>
    <xf numFmtId="0" fontId="34" fillId="0" borderId="0" xfId="0" applyFont="1" applyAlignment="1">
      <alignment readingOrder="2"/>
    </xf>
    <xf numFmtId="1" fontId="34" fillId="0" borderId="0" xfId="0" applyNumberFormat="1" applyFont="1" applyAlignment="1">
      <alignment readingOrder="2"/>
    </xf>
    <xf numFmtId="0" fontId="22" fillId="0" borderId="0" xfId="0" applyFont="1" applyFill="1" applyAlignment="1">
      <alignment horizontal="right" vertical="center" readingOrder="2"/>
    </xf>
    <xf numFmtId="0" fontId="35" fillId="6" borderId="6" xfId="0" applyFont="1" applyFill="1" applyBorder="1" applyAlignment="1" applyProtection="1">
      <alignment vertical="center" readingOrder="2"/>
      <protection locked="0"/>
    </xf>
    <xf numFmtId="0" fontId="22" fillId="0" borderId="0" xfId="0" applyNumberFormat="1" applyFont="1" applyAlignment="1">
      <alignment vertical="center" readingOrder="2"/>
    </xf>
    <xf numFmtId="44" fontId="22" fillId="0" borderId="0" xfId="9" applyNumberFormat="1" applyFont="1" applyAlignment="1">
      <alignment vertical="center" readingOrder="2"/>
    </xf>
    <xf numFmtId="0" fontId="22" fillId="0" borderId="49" xfId="0" applyFont="1" applyBorder="1" applyAlignment="1">
      <alignment vertical="center" readingOrder="2"/>
    </xf>
    <xf numFmtId="0" fontId="35" fillId="0" borderId="0" xfId="0" applyFont="1" applyFill="1" applyBorder="1" applyAlignment="1" applyProtection="1">
      <alignment vertical="center" readingOrder="2"/>
      <protection locked="0"/>
    </xf>
    <xf numFmtId="0" fontId="22" fillId="0" borderId="0" xfId="0" applyFont="1" applyBorder="1" applyAlignment="1">
      <alignment horizontal="center" vertical="center" readingOrder="2"/>
    </xf>
    <xf numFmtId="0" fontId="22" fillId="0" borderId="61" xfId="0" applyFont="1" applyBorder="1" applyAlignment="1">
      <alignment horizontal="center" vertical="center" readingOrder="2"/>
    </xf>
    <xf numFmtId="0" fontId="34" fillId="0" borderId="0" xfId="0" applyFont="1" applyBorder="1" applyAlignment="1">
      <alignment vertical="center" readingOrder="2"/>
    </xf>
    <xf numFmtId="44" fontId="34" fillId="0" borderId="20" xfId="9" applyFont="1" applyBorder="1" applyAlignment="1">
      <alignment horizontal="center" vertical="center" readingOrder="2"/>
    </xf>
    <xf numFmtId="44" fontId="22" fillId="0" borderId="0" xfId="9" applyFont="1" applyBorder="1" applyAlignment="1">
      <alignment vertical="center" readingOrder="2"/>
    </xf>
    <xf numFmtId="0" fontId="36" fillId="0" borderId="0" xfId="0" applyFont="1" applyAlignment="1">
      <alignment vertical="center" readingOrder="2"/>
    </xf>
    <xf numFmtId="166" fontId="22" fillId="0" borderId="0" xfId="0" applyNumberFormat="1" applyFont="1" applyBorder="1" applyAlignment="1" applyProtection="1">
      <alignment vertical="center"/>
    </xf>
    <xf numFmtId="0" fontId="38" fillId="0" borderId="0" xfId="1" applyFont="1" applyFill="1" applyBorder="1" applyAlignment="1">
      <alignment horizontal="right" vertical="center" readingOrder="2"/>
    </xf>
    <xf numFmtId="166" fontId="38" fillId="0" borderId="0" xfId="1" applyNumberFormat="1" applyFont="1" applyFill="1" applyBorder="1" applyAlignment="1">
      <alignment horizontal="right" vertical="center" readingOrder="2"/>
    </xf>
    <xf numFmtId="0" fontId="39" fillId="0" borderId="0" xfId="1" applyFont="1" applyFill="1" applyBorder="1" applyAlignment="1">
      <alignment horizontal="right" vertical="center" readingOrder="2"/>
    </xf>
    <xf numFmtId="0" fontId="40" fillId="14" borderId="1" xfId="1" applyFont="1" applyFill="1" applyBorder="1" applyAlignment="1">
      <alignment horizontal="center" vertical="center" readingOrder="2"/>
    </xf>
    <xf numFmtId="0" fontId="38" fillId="14" borderId="1" xfId="1" applyFont="1" applyFill="1" applyBorder="1" applyAlignment="1">
      <alignment horizontal="right" vertical="center" readingOrder="2"/>
    </xf>
    <xf numFmtId="0" fontId="38" fillId="14" borderId="1" xfId="1" applyFont="1" applyFill="1" applyBorder="1" applyAlignment="1" applyProtection="1">
      <alignment horizontal="center" vertical="center" wrapText="1" readingOrder="2"/>
      <protection locked="0"/>
    </xf>
    <xf numFmtId="0" fontId="40" fillId="21" borderId="1" xfId="1" applyFont="1" applyFill="1" applyBorder="1" applyAlignment="1" applyProtection="1">
      <alignment horizontal="center" vertical="center" wrapText="1" readingOrder="2"/>
      <protection locked="0"/>
    </xf>
    <xf numFmtId="0" fontId="38" fillId="14" borderId="1" xfId="1" applyFont="1" applyFill="1" applyBorder="1" applyAlignment="1">
      <alignment horizontal="center" vertical="center" readingOrder="2"/>
    </xf>
    <xf numFmtId="0" fontId="40" fillId="0" borderId="0" xfId="1" applyFont="1" applyFill="1" applyBorder="1" applyAlignment="1">
      <alignment horizontal="right" vertical="center" readingOrder="2"/>
    </xf>
    <xf numFmtId="166" fontId="40" fillId="0" borderId="0" xfId="1" applyNumberFormat="1" applyFont="1" applyFill="1" applyBorder="1" applyAlignment="1">
      <alignment horizontal="right" vertical="center" readingOrder="2"/>
    </xf>
    <xf numFmtId="0" fontId="40" fillId="14" borderId="0" xfId="1" applyFont="1" applyFill="1" applyBorder="1" applyAlignment="1">
      <alignment horizontal="right" vertical="center" readingOrder="2"/>
    </xf>
    <xf numFmtId="166" fontId="40" fillId="14" borderId="0" xfId="1" applyNumberFormat="1" applyFont="1" applyFill="1" applyBorder="1" applyAlignment="1">
      <alignment horizontal="right" vertical="center" readingOrder="2"/>
    </xf>
    <xf numFmtId="0" fontId="22" fillId="0" borderId="0" xfId="0" applyFont="1" applyBorder="1" applyAlignment="1" applyProtection="1">
      <alignment horizontal="right" vertical="center"/>
    </xf>
    <xf numFmtId="1" fontId="40" fillId="3" borderId="0" xfId="1" applyNumberFormat="1" applyFont="1" applyFill="1" applyBorder="1" applyAlignment="1">
      <alignment horizontal="center" vertical="center" readingOrder="2"/>
    </xf>
    <xf numFmtId="0" fontId="38" fillId="0" borderId="0" xfId="1" applyNumberFormat="1" applyFont="1" applyFill="1" applyBorder="1" applyAlignment="1">
      <alignment horizontal="right" vertical="center" readingOrder="2"/>
    </xf>
    <xf numFmtId="9" fontId="38" fillId="0" borderId="0" xfId="3" applyFont="1" applyFill="1" applyBorder="1" applyAlignment="1">
      <alignment horizontal="right" vertical="center" readingOrder="2"/>
    </xf>
    <xf numFmtId="44" fontId="38" fillId="0" borderId="0" xfId="9" applyFont="1" applyFill="1" applyBorder="1" applyAlignment="1">
      <alignment horizontal="right" vertical="center" readingOrder="2"/>
    </xf>
    <xf numFmtId="166" fontId="38" fillId="0" borderId="0" xfId="9" applyNumberFormat="1" applyFont="1" applyFill="1" applyBorder="1" applyAlignment="1">
      <alignment horizontal="right" vertical="center" readingOrder="2"/>
    </xf>
    <xf numFmtId="0" fontId="38" fillId="0" borderId="0" xfId="1" applyNumberFormat="1" applyFont="1" applyFill="1" applyBorder="1" applyAlignment="1">
      <alignment horizontal="center" vertical="center" readingOrder="2"/>
    </xf>
    <xf numFmtId="2" fontId="22" fillId="0" borderId="0" xfId="0" applyNumberFormat="1" applyFont="1" applyFill="1" applyBorder="1" applyAlignment="1">
      <alignment horizontal="right" vertical="center"/>
    </xf>
    <xf numFmtId="1" fontId="38" fillId="0" borderId="0" xfId="1" applyNumberFormat="1" applyFont="1" applyFill="1" applyBorder="1" applyAlignment="1">
      <alignment horizontal="center" vertical="center" readingOrder="2"/>
    </xf>
    <xf numFmtId="1" fontId="40" fillId="0" borderId="0" xfId="1" applyNumberFormat="1" applyFont="1" applyFill="1" applyBorder="1" applyAlignment="1">
      <alignment horizontal="center" vertical="center" readingOrder="2"/>
    </xf>
    <xf numFmtId="0" fontId="24" fillId="0" borderId="0" xfId="0" applyFont="1" applyBorder="1" applyAlignment="1" applyProtection="1">
      <alignment vertical="center"/>
    </xf>
    <xf numFmtId="2" fontId="38" fillId="0" borderId="0" xfId="1" applyNumberFormat="1" applyFont="1" applyFill="1" applyBorder="1" applyAlignment="1">
      <alignment horizontal="right" vertical="center" readingOrder="2"/>
    </xf>
    <xf numFmtId="1" fontId="22" fillId="0" borderId="0" xfId="0" applyNumberFormat="1" applyFont="1" applyFill="1" applyBorder="1" applyAlignment="1">
      <alignment horizontal="right" vertical="center"/>
    </xf>
    <xf numFmtId="169" fontId="38" fillId="0" borderId="0" xfId="9" applyNumberFormat="1" applyFont="1" applyFill="1" applyBorder="1" applyAlignment="1">
      <alignment horizontal="right" vertical="center" readingOrder="2"/>
    </xf>
    <xf numFmtId="0" fontId="22" fillId="0" borderId="0" xfId="0" quotePrefix="1" applyFont="1" applyFill="1" applyBorder="1" applyAlignment="1" applyProtection="1">
      <alignment horizontal="right" vertical="center"/>
    </xf>
    <xf numFmtId="0" fontId="22" fillId="14" borderId="0" xfId="0" applyFont="1" applyFill="1" applyBorder="1" applyAlignment="1" applyProtection="1">
      <alignment vertical="center"/>
    </xf>
    <xf numFmtId="166" fontId="22" fillId="14" borderId="0" xfId="0" applyNumberFormat="1" applyFont="1" applyFill="1" applyBorder="1" applyAlignment="1" applyProtection="1">
      <alignment vertical="center"/>
    </xf>
    <xf numFmtId="0" fontId="22" fillId="14" borderId="0" xfId="0" applyFont="1" applyFill="1" applyBorder="1" applyAlignment="1" applyProtection="1">
      <alignment horizontal="right" vertical="center"/>
    </xf>
    <xf numFmtId="0" fontId="22" fillId="14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vertical="center"/>
    </xf>
    <xf numFmtId="44" fontId="22" fillId="0" borderId="0" xfId="9" applyNumberFormat="1" applyFont="1" applyFill="1" applyBorder="1" applyAlignment="1">
      <alignment vertical="center"/>
    </xf>
    <xf numFmtId="9" fontId="25" fillId="0" borderId="0" xfId="3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 readingOrder="2"/>
    </xf>
    <xf numFmtId="0" fontId="34" fillId="0" borderId="0" xfId="0" applyFont="1" applyFill="1" applyBorder="1" applyAlignment="1">
      <alignment horizontal="center" vertical="center" readingOrder="2"/>
    </xf>
    <xf numFmtId="166" fontId="22" fillId="0" borderId="0" xfId="0" applyNumberFormat="1" applyFont="1" applyBorder="1" applyAlignment="1" applyProtection="1">
      <alignment horizontal="center" vertical="center" readingOrder="2"/>
    </xf>
    <xf numFmtId="0" fontId="22" fillId="0" borderId="0" xfId="0" applyNumberFormat="1" applyFont="1" applyBorder="1" applyAlignment="1" applyProtection="1">
      <alignment horizontal="center" vertical="center"/>
    </xf>
    <xf numFmtId="44" fontId="22" fillId="0" borderId="0" xfId="9" applyFont="1" applyBorder="1" applyAlignment="1" applyProtection="1">
      <alignment vertical="center"/>
    </xf>
    <xf numFmtId="0" fontId="41" fillId="0" borderId="0" xfId="1" applyFont="1" applyFill="1" applyBorder="1" applyAlignment="1" applyProtection="1">
      <alignment horizontal="center" vertical="center" wrapText="1" readingOrder="2"/>
      <protection locked="0"/>
    </xf>
    <xf numFmtId="0" fontId="42" fillId="0" borderId="0" xfId="1" applyFont="1" applyFill="1" applyBorder="1" applyAlignment="1">
      <alignment horizontal="center" vertical="center" readingOrder="2"/>
    </xf>
    <xf numFmtId="0" fontId="40" fillId="14" borderId="0" xfId="1" applyFont="1" applyFill="1" applyBorder="1" applyAlignment="1">
      <alignment horizontal="center" vertical="center" readingOrder="2"/>
    </xf>
    <xf numFmtId="44" fontId="22" fillId="0" borderId="0" xfId="9" applyFont="1" applyBorder="1" applyAlignment="1" applyProtection="1">
      <alignment horizontal="right" vertical="center"/>
    </xf>
    <xf numFmtId="44" fontId="22" fillId="0" borderId="0" xfId="9" applyFont="1" applyFill="1" applyBorder="1" applyAlignment="1" applyProtection="1">
      <alignment vertical="center"/>
    </xf>
    <xf numFmtId="168" fontId="22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center" vertical="center" readingOrder="2"/>
    </xf>
    <xf numFmtId="2" fontId="34" fillId="0" borderId="0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vertical="center"/>
    </xf>
    <xf numFmtId="9" fontId="34" fillId="0" borderId="0" xfId="3" applyFont="1" applyFill="1" applyBorder="1" applyAlignment="1" applyProtection="1">
      <alignment vertical="center"/>
    </xf>
    <xf numFmtId="166" fontId="34" fillId="0" borderId="0" xfId="0" applyNumberFormat="1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right" vertical="center" readingOrder="2"/>
    </xf>
    <xf numFmtId="0" fontId="34" fillId="0" borderId="0" xfId="0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 readingOrder="2"/>
    </xf>
    <xf numFmtId="0" fontId="34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0" fontId="34" fillId="0" borderId="0" xfId="0" applyNumberFormat="1" applyFont="1" applyBorder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66" fontId="22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right" vertical="center" wrapText="1" readingOrder="1"/>
    </xf>
    <xf numFmtId="0" fontId="22" fillId="0" borderId="0" xfId="0" applyFont="1" applyFill="1" applyBorder="1" applyAlignment="1">
      <alignment horizontal="left" vertical="center" readingOrder="2"/>
    </xf>
    <xf numFmtId="0" fontId="22" fillId="0" borderId="0" xfId="0" applyFont="1" applyFill="1" applyBorder="1" applyAlignment="1">
      <alignment horizontal="left" vertical="center" wrapText="1" readingOrder="2"/>
    </xf>
    <xf numFmtId="0" fontId="32" fillId="0" borderId="0" xfId="0" applyFont="1" applyFill="1" applyBorder="1" applyAlignment="1">
      <alignment horizontal="left" vertical="center" wrapText="1" readingOrder="2"/>
    </xf>
    <xf numFmtId="0" fontId="36" fillId="0" borderId="0" xfId="0" applyFont="1" applyBorder="1" applyAlignment="1">
      <alignment vertical="center" readingOrder="2"/>
    </xf>
    <xf numFmtId="0" fontId="24" fillId="6" borderId="21" xfId="0" applyFont="1" applyFill="1" applyBorder="1" applyAlignment="1">
      <alignment horizontal="center" vertical="center"/>
    </xf>
    <xf numFmtId="0" fontId="45" fillId="0" borderId="0" xfId="0" applyFont="1" applyAlignment="1">
      <alignment vertical="center" readingOrder="2"/>
    </xf>
    <xf numFmtId="0" fontId="24" fillId="0" borderId="2" xfId="0" applyFont="1" applyBorder="1" applyAlignment="1">
      <alignment horizontal="right" vertical="center"/>
    </xf>
    <xf numFmtId="0" fontId="22" fillId="0" borderId="59" xfId="0" applyFont="1" applyBorder="1" applyAlignment="1">
      <alignment vertical="center"/>
    </xf>
    <xf numFmtId="0" fontId="22" fillId="11" borderId="59" xfId="0" applyFont="1" applyFill="1" applyBorder="1" applyAlignment="1">
      <alignment vertical="center"/>
    </xf>
    <xf numFmtId="0" fontId="24" fillId="0" borderId="13" xfId="0" applyFont="1" applyBorder="1" applyAlignment="1">
      <alignment vertical="center" readingOrder="2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2" fillId="0" borderId="68" xfId="0" applyFont="1" applyBorder="1" applyAlignment="1">
      <alignment horizontal="right" vertical="center"/>
    </xf>
    <xf numFmtId="0" fontId="22" fillId="0" borderId="69" xfId="0" applyFont="1" applyBorder="1" applyAlignment="1">
      <alignment horizontal="right" vertical="center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14" fontId="44" fillId="0" borderId="0" xfId="0" applyNumberFormat="1" applyFont="1" applyFill="1" applyBorder="1" applyAlignment="1" applyProtection="1">
      <alignment vertical="center" wrapText="1" readingOrder="2"/>
    </xf>
    <xf numFmtId="0" fontId="44" fillId="0" borderId="0" xfId="0" applyFont="1" applyFill="1" applyBorder="1" applyAlignment="1" applyProtection="1">
      <alignment vertical="center" wrapText="1" readingOrder="2"/>
    </xf>
    <xf numFmtId="0" fontId="40" fillId="21" borderId="24" xfId="1" applyFont="1" applyFill="1" applyBorder="1" applyAlignment="1" applyProtection="1">
      <alignment horizontal="center" vertical="center" wrapText="1" readingOrder="2"/>
      <protection locked="0"/>
    </xf>
    <xf numFmtId="0" fontId="40" fillId="14" borderId="0" xfId="1" applyFont="1" applyFill="1" applyAlignment="1">
      <alignment horizontal="right" vertical="center" readingOrder="2"/>
    </xf>
    <xf numFmtId="0" fontId="47" fillId="0" borderId="0" xfId="0" applyNumberFormat="1" applyFont="1" applyFill="1" applyBorder="1" applyAlignment="1">
      <alignment horizontal="left" vertical="center" wrapText="1" readingOrder="2"/>
    </xf>
    <xf numFmtId="0" fontId="47" fillId="0" borderId="0" xfId="0" applyNumberFormat="1" applyFont="1" applyFill="1" applyBorder="1" applyAlignment="1">
      <alignment horizontal="right" vertical="center" readingOrder="2"/>
    </xf>
    <xf numFmtId="0" fontId="48" fillId="0" borderId="0" xfId="1" applyFont="1" applyFill="1" applyBorder="1" applyAlignment="1">
      <alignment horizontal="right" vertical="center" readingOrder="2"/>
    </xf>
    <xf numFmtId="0" fontId="22" fillId="0" borderId="5" xfId="0" applyNumberFormat="1" applyFont="1" applyBorder="1" applyAlignment="1">
      <alignment horizontal="right" vertical="center"/>
    </xf>
    <xf numFmtId="0" fontId="25" fillId="0" borderId="0" xfId="1" applyFont="1" applyFill="1" applyBorder="1" applyAlignment="1">
      <alignment horizontal="center" vertical="center" wrapText="1" readingOrder="2"/>
    </xf>
    <xf numFmtId="0" fontId="25" fillId="0" borderId="0" xfId="1" applyFont="1" applyFill="1" applyBorder="1" applyAlignment="1">
      <alignment horizontal="right" vertical="center" readingOrder="2"/>
    </xf>
    <xf numFmtId="0" fontId="25" fillId="0" borderId="0" xfId="1" applyFont="1" applyFill="1" applyBorder="1" applyAlignment="1">
      <alignment horizontal="right" vertical="center" wrapText="1" readingOrder="2"/>
    </xf>
    <xf numFmtId="0" fontId="25" fillId="0" borderId="0" xfId="1" applyFont="1" applyFill="1" applyBorder="1" applyAlignment="1">
      <alignment horizontal="center" vertical="center" readingOrder="2"/>
    </xf>
    <xf numFmtId="12" fontId="25" fillId="0" borderId="0" xfId="11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13" fontId="25" fillId="0" borderId="0" xfId="11" applyNumberFormat="1" applyFont="1" applyFill="1" applyBorder="1" applyAlignment="1">
      <alignment horizontal="center" vertical="center"/>
    </xf>
    <xf numFmtId="13" fontId="25" fillId="0" borderId="0" xfId="1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right" vertical="center" readingOrder="2"/>
    </xf>
    <xf numFmtId="2" fontId="26" fillId="0" borderId="0" xfId="1" applyNumberFormat="1" applyFont="1" applyFill="1" applyBorder="1" applyAlignment="1">
      <alignment horizontal="center" vertical="center" readingOrder="2"/>
    </xf>
    <xf numFmtId="1" fontId="26" fillId="0" borderId="0" xfId="1" applyNumberFormat="1" applyFont="1" applyFill="1" applyBorder="1" applyAlignment="1" applyProtection="1">
      <alignment horizontal="center" vertical="center" wrapText="1" readingOrder="2"/>
      <protection locked="0"/>
    </xf>
    <xf numFmtId="1" fontId="25" fillId="0" borderId="0" xfId="1" applyNumberFormat="1" applyFont="1" applyFill="1" applyBorder="1" applyAlignment="1" applyProtection="1">
      <alignment horizontal="center" vertical="center" wrapText="1" readingOrder="2"/>
      <protection locked="0"/>
    </xf>
    <xf numFmtId="17" fontId="25" fillId="0" borderId="0" xfId="1" applyNumberFormat="1" applyFont="1" applyFill="1" applyBorder="1" applyAlignment="1">
      <alignment horizontal="center" vertical="center" readingOrder="2"/>
    </xf>
    <xf numFmtId="166" fontId="38" fillId="0" borderId="0" xfId="0" applyNumberFormat="1" applyFont="1" applyFill="1" applyBorder="1" applyAlignment="1">
      <alignment readingOrder="2"/>
    </xf>
    <xf numFmtId="9" fontId="38" fillId="0" borderId="0" xfId="3" applyFont="1" applyFill="1" applyBorder="1" applyAlignment="1">
      <alignment readingOrder="2"/>
    </xf>
    <xf numFmtId="0" fontId="38" fillId="0" borderId="0" xfId="0" applyFont="1" applyFill="1" applyBorder="1" applyAlignment="1">
      <alignment readingOrder="2"/>
    </xf>
    <xf numFmtId="0" fontId="40" fillId="0" borderId="0" xfId="0" applyFont="1" applyFill="1" applyBorder="1" applyAlignment="1">
      <alignment horizontal="center" vertical="center" readingOrder="2"/>
    </xf>
    <xf numFmtId="0" fontId="38" fillId="0" borderId="0" xfId="0" applyFont="1" applyFill="1" applyBorder="1" applyAlignment="1">
      <alignment horizontal="right" readingOrder="2"/>
    </xf>
    <xf numFmtId="166" fontId="38" fillId="0" borderId="0" xfId="0" applyNumberFormat="1" applyFont="1" applyFill="1" applyBorder="1" applyAlignment="1">
      <alignment horizontal="right" readingOrder="2"/>
    </xf>
    <xf numFmtId="9" fontId="38" fillId="0" borderId="0" xfId="3" applyFont="1" applyFill="1" applyBorder="1" applyAlignment="1">
      <alignment horizontal="right" readingOrder="2"/>
    </xf>
    <xf numFmtId="1" fontId="40" fillId="0" borderId="0" xfId="0" applyNumberFormat="1" applyFont="1" applyFill="1" applyBorder="1" applyAlignment="1">
      <alignment horizontal="center" vertical="center" readingOrder="2"/>
    </xf>
    <xf numFmtId="168" fontId="40" fillId="0" borderId="0" xfId="0" applyNumberFormat="1" applyFont="1" applyFill="1" applyBorder="1" applyAlignment="1">
      <alignment horizontal="center" vertical="center" readingOrder="2"/>
    </xf>
    <xf numFmtId="0" fontId="40" fillId="0" borderId="0" xfId="0" applyFont="1" applyFill="1" applyBorder="1" applyAlignment="1">
      <alignment readingOrder="2"/>
    </xf>
    <xf numFmtId="0" fontId="49" fillId="4" borderId="1" xfId="0" applyFont="1" applyFill="1" applyBorder="1" applyAlignment="1">
      <alignment horizontal="center" vertical="center" readingOrder="2"/>
    </xf>
    <xf numFmtId="0" fontId="25" fillId="4" borderId="1" xfId="1" applyFont="1" applyFill="1" applyBorder="1" applyAlignment="1" applyProtection="1">
      <alignment horizontal="center" vertical="center" wrapText="1" readingOrder="2"/>
      <protection locked="0"/>
    </xf>
    <xf numFmtId="0" fontId="26" fillId="4" borderId="1" xfId="1" applyFont="1" applyFill="1" applyBorder="1" applyAlignment="1">
      <alignment vertical="center" readingOrder="2"/>
    </xf>
    <xf numFmtId="0" fontId="40" fillId="4" borderId="1" xfId="0" applyFont="1" applyFill="1" applyBorder="1" applyAlignment="1">
      <alignment horizontal="center" vertical="center" readingOrder="2"/>
    </xf>
    <xf numFmtId="14" fontId="40" fillId="21" borderId="24" xfId="1" applyNumberFormat="1" applyFont="1" applyFill="1" applyBorder="1" applyAlignment="1" applyProtection="1">
      <alignment horizontal="center" vertical="center" wrapText="1" readingOrder="2"/>
      <protection locked="0"/>
    </xf>
    <xf numFmtId="14" fontId="44" fillId="0" borderId="0" xfId="1" applyNumberFormat="1" applyFont="1" applyFill="1" applyBorder="1" applyAlignment="1">
      <alignment horizontal="center" vertical="center" readingOrder="2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wrapText="1" readingOrder="2"/>
    </xf>
    <xf numFmtId="0" fontId="24" fillId="6" borderId="6" xfId="0" applyFont="1" applyFill="1" applyBorder="1" applyAlignment="1" applyProtection="1">
      <alignment horizontal="center" vertical="center"/>
    </xf>
    <xf numFmtId="0" fontId="25" fillId="0" borderId="0" xfId="1" applyFont="1" applyFill="1" applyBorder="1" applyAlignment="1">
      <alignment horizontal="center" vertical="center" readingOrder="2"/>
    </xf>
    <xf numFmtId="0" fontId="26" fillId="4" borderId="1" xfId="1" applyFont="1" applyFill="1" applyBorder="1" applyAlignment="1" applyProtection="1">
      <alignment horizontal="center" vertical="center" wrapText="1" readingOrder="2"/>
      <protection locked="0"/>
    </xf>
    <xf numFmtId="0" fontId="25" fillId="0" borderId="0" xfId="1" applyFont="1" applyFill="1" applyBorder="1" applyAlignment="1">
      <alignment horizontal="center" vertical="center" readingOrder="2"/>
    </xf>
    <xf numFmtId="0" fontId="45" fillId="0" borderId="0" xfId="0" applyFont="1" applyFill="1" applyBorder="1" applyAlignment="1">
      <alignment readingOrder="2"/>
    </xf>
    <xf numFmtId="1" fontId="38" fillId="0" borderId="0" xfId="1" applyNumberFormat="1" applyFont="1" applyFill="1" applyAlignment="1">
      <alignment horizontal="center" vertical="center" readingOrder="2"/>
    </xf>
    <xf numFmtId="9" fontId="38" fillId="0" borderId="0" xfId="3" applyFont="1" applyFill="1" applyAlignment="1">
      <alignment horizontal="center" vertical="center" readingOrder="2"/>
    </xf>
    <xf numFmtId="9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right" vertical="center" readingOrder="2"/>
    </xf>
    <xf numFmtId="0" fontId="38" fillId="18" borderId="72" xfId="1" applyFont="1" applyFill="1" applyBorder="1" applyAlignment="1">
      <alignment vertical="center" readingOrder="2"/>
    </xf>
    <xf numFmtId="0" fontId="24" fillId="0" borderId="11" xfId="0" applyFont="1" applyFill="1" applyBorder="1" applyAlignment="1">
      <alignment horizontal="center" vertical="center" readingOrder="2"/>
    </xf>
    <xf numFmtId="0" fontId="24" fillId="0" borderId="3" xfId="0" applyFont="1" applyFill="1" applyBorder="1" applyAlignment="1">
      <alignment horizontal="center" vertical="center" readingOrder="2"/>
    </xf>
    <xf numFmtId="0" fontId="24" fillId="0" borderId="10" xfId="0" applyFont="1" applyFill="1" applyBorder="1" applyAlignment="1">
      <alignment horizontal="center" vertical="center" readingOrder="2"/>
    </xf>
    <xf numFmtId="0" fontId="24" fillId="0" borderId="9" xfId="0" applyFont="1" applyFill="1" applyBorder="1" applyAlignment="1">
      <alignment horizontal="center" vertical="center" readingOrder="2"/>
    </xf>
    <xf numFmtId="0" fontId="24" fillId="0" borderId="0" xfId="0" applyFont="1" applyFill="1" applyBorder="1" applyAlignment="1" applyProtection="1">
      <alignment horizontal="center" vertical="center" readingOrder="2"/>
      <protection locked="0"/>
    </xf>
    <xf numFmtId="0" fontId="28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NumberFormat="1" applyFont="1" applyFill="1" applyAlignment="1" applyProtection="1">
      <alignment vertical="center" readingOrder="2"/>
    </xf>
    <xf numFmtId="0" fontId="22" fillId="0" borderId="9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 readingOrder="2"/>
    </xf>
    <xf numFmtId="0" fontId="22" fillId="0" borderId="0" xfId="0" applyFont="1" applyFill="1" applyAlignment="1">
      <alignment vertical="center" readingOrder="2"/>
    </xf>
    <xf numFmtId="0" fontId="24" fillId="0" borderId="0" xfId="0" applyFont="1" applyAlignment="1" applyProtection="1">
      <alignment horizontal="center" vertical="center" readingOrder="2"/>
    </xf>
    <xf numFmtId="0" fontId="22" fillId="0" borderId="54" xfId="0" applyFont="1" applyFill="1" applyBorder="1" applyAlignment="1">
      <alignment horizontal="right" vertical="center" readingOrder="2"/>
    </xf>
    <xf numFmtId="0" fontId="24" fillId="6" borderId="6" xfId="0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readingOrder="2"/>
    </xf>
    <xf numFmtId="0" fontId="24" fillId="6" borderId="17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52" fillId="0" borderId="0" xfId="1" applyFont="1" applyFill="1" applyAlignment="1">
      <alignment readingOrder="2"/>
    </xf>
    <xf numFmtId="0" fontId="52" fillId="0" borderId="0" xfId="0" applyFont="1" applyFill="1" applyBorder="1" applyAlignment="1">
      <alignment horizontal="right" readingOrder="2"/>
    </xf>
    <xf numFmtId="166" fontId="52" fillId="0" borderId="0" xfId="0" applyNumberFormat="1" applyFont="1" applyFill="1" applyBorder="1" applyAlignment="1">
      <alignment horizontal="right" readingOrder="2"/>
    </xf>
    <xf numFmtId="9" fontId="52" fillId="0" borderId="0" xfId="3" applyFont="1" applyFill="1" applyBorder="1" applyAlignment="1">
      <alignment readingOrder="2"/>
    </xf>
    <xf numFmtId="0" fontId="38" fillId="0" borderId="0" xfId="1" quotePrefix="1" applyFont="1" applyFill="1" applyAlignment="1">
      <alignment readingOrder="2"/>
    </xf>
    <xf numFmtId="0" fontId="38" fillId="0" borderId="0" xfId="1" applyFont="1" applyFill="1" applyAlignment="1">
      <alignment readingOrder="2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11" borderId="48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right" vertical="center" readingOrder="2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 readingOrder="2"/>
    </xf>
    <xf numFmtId="0" fontId="22" fillId="0" borderId="9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readingOrder="2"/>
    </xf>
    <xf numFmtId="0" fontId="22" fillId="0" borderId="5" xfId="0" applyFont="1" applyFill="1" applyBorder="1" applyAlignment="1">
      <alignment vertical="center" readingOrder="2"/>
    </xf>
    <xf numFmtId="0" fontId="22" fillId="0" borderId="12" xfId="0" applyFont="1" applyFill="1" applyBorder="1" applyAlignment="1">
      <alignment vertical="center"/>
    </xf>
    <xf numFmtId="14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52" xfId="0" applyFont="1" applyFill="1" applyBorder="1" applyAlignment="1">
      <alignment vertical="center"/>
    </xf>
    <xf numFmtId="0" fontId="22" fillId="0" borderId="52" xfId="0" applyFont="1" applyFill="1" applyBorder="1" applyAlignment="1">
      <alignment vertical="center" readingOrder="2"/>
    </xf>
    <xf numFmtId="0" fontId="22" fillId="0" borderId="52" xfId="0" applyFont="1" applyFill="1" applyBorder="1" applyAlignment="1">
      <alignment horizontal="center" vertical="center"/>
    </xf>
    <xf numFmtId="0" fontId="22" fillId="0" borderId="75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 readingOrder="2"/>
    </xf>
    <xf numFmtId="9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0" fontId="45" fillId="0" borderId="0" xfId="0" applyFont="1" applyFill="1" applyBorder="1" applyAlignment="1">
      <alignment horizontal="right" readingOrder="2"/>
    </xf>
    <xf numFmtId="0" fontId="45" fillId="0" borderId="0" xfId="0" applyFont="1" applyFill="1" applyBorder="1" applyAlignment="1" applyProtection="1">
      <alignment readingOrder="2"/>
      <protection locked="0"/>
    </xf>
    <xf numFmtId="0" fontId="45" fillId="0" borderId="0" xfId="0" applyNumberFormat="1" applyFont="1" applyFill="1" applyBorder="1" applyAlignment="1">
      <alignment readingOrder="2"/>
    </xf>
    <xf numFmtId="0" fontId="25" fillId="0" borderId="0" xfId="1" applyFont="1" applyFill="1" applyBorder="1" applyAlignment="1">
      <alignment horizontal="center" vertical="center" readingOrder="2"/>
    </xf>
    <xf numFmtId="166" fontId="22" fillId="0" borderId="0" xfId="0" applyNumberFormat="1" applyFont="1" applyFill="1" applyBorder="1" applyAlignment="1">
      <alignment horizontal="right" vertical="center" readingOrder="2"/>
    </xf>
    <xf numFmtId="44" fontId="45" fillId="0" borderId="0" xfId="9" applyFont="1" applyFill="1" applyBorder="1" applyAlignment="1">
      <alignment readingOrder="2"/>
    </xf>
    <xf numFmtId="0" fontId="53" fillId="0" borderId="0" xfId="0" applyFont="1" applyFill="1" applyAlignment="1">
      <alignment horizontal="right" readingOrder="2"/>
    </xf>
    <xf numFmtId="0" fontId="53" fillId="0" borderId="0" xfId="0" applyFont="1" applyFill="1" applyAlignment="1">
      <alignment readingOrder="2"/>
    </xf>
    <xf numFmtId="0" fontId="53" fillId="0" borderId="0" xfId="0" applyNumberFormat="1" applyFont="1" applyFill="1" applyAlignment="1">
      <alignment readingOrder="2"/>
    </xf>
    <xf numFmtId="0" fontId="53" fillId="0" borderId="0" xfId="0" applyNumberFormat="1" applyFont="1" applyFill="1" applyAlignment="1" applyProtection="1">
      <alignment readingOrder="2"/>
      <protection locked="0"/>
    </xf>
    <xf numFmtId="44" fontId="53" fillId="0" borderId="0" xfId="0" applyNumberFormat="1" applyFont="1" applyFill="1" applyAlignment="1">
      <alignment readingOrder="2"/>
    </xf>
    <xf numFmtId="44" fontId="51" fillId="0" borderId="17" xfId="9" applyFont="1" applyBorder="1" applyAlignment="1">
      <alignment readingOrder="2"/>
    </xf>
    <xf numFmtId="44" fontId="51" fillId="0" borderId="0" xfId="9" applyFont="1" applyBorder="1" applyAlignment="1">
      <alignment readingOrder="2"/>
    </xf>
    <xf numFmtId="0" fontId="22" fillId="0" borderId="0" xfId="0" applyFont="1" applyBorder="1" applyAlignment="1">
      <alignment readingOrder="2"/>
    </xf>
    <xf numFmtId="0" fontId="51" fillId="0" borderId="15" xfId="0" applyFont="1" applyBorder="1" applyAlignment="1">
      <alignment readingOrder="2"/>
    </xf>
    <xf numFmtId="0" fontId="51" fillId="0" borderId="6" xfId="0" applyFont="1" applyBorder="1" applyAlignment="1">
      <alignment readingOrder="2"/>
    </xf>
    <xf numFmtId="0" fontId="51" fillId="0" borderId="4" xfId="0" applyFont="1" applyBorder="1" applyAlignment="1">
      <alignment readingOrder="2"/>
    </xf>
    <xf numFmtId="44" fontId="51" fillId="0" borderId="17" xfId="0" applyNumberFormat="1" applyFont="1" applyBorder="1" applyAlignment="1">
      <alignment readingOrder="2"/>
    </xf>
    <xf numFmtId="0" fontId="36" fillId="0" borderId="0" xfId="0" applyFont="1" applyAlignment="1">
      <alignment horizontal="center" vertical="center" readingOrder="2"/>
    </xf>
    <xf numFmtId="0" fontId="54" fillId="0" borderId="0" xfId="0" applyFont="1" applyAlignment="1">
      <alignment horizontal="right" vertical="center" readingOrder="2"/>
    </xf>
    <xf numFmtId="0" fontId="54" fillId="0" borderId="0" xfId="0" applyFont="1" applyAlignment="1">
      <alignment vertical="center" readingOrder="2"/>
    </xf>
    <xf numFmtId="0" fontId="54" fillId="0" borderId="0" xfId="0" applyNumberFormat="1" applyFont="1" applyAlignment="1">
      <alignment vertical="center" readingOrder="2"/>
    </xf>
    <xf numFmtId="0" fontId="34" fillId="0" borderId="0" xfId="0" applyFont="1"/>
    <xf numFmtId="14" fontId="34" fillId="0" borderId="0" xfId="0" applyNumberFormat="1" applyFont="1"/>
    <xf numFmtId="166" fontId="34" fillId="0" borderId="0" xfId="0" applyNumberFormat="1" applyFont="1" applyFill="1" applyBorder="1" applyAlignment="1"/>
    <xf numFmtId="14" fontId="46" fillId="18" borderId="15" xfId="1" applyNumberFormat="1" applyFont="1" applyFill="1" applyBorder="1" applyAlignment="1">
      <alignment vertical="center" readingOrder="2"/>
    </xf>
    <xf numFmtId="0" fontId="46" fillId="18" borderId="16" xfId="1" applyFont="1" applyFill="1" applyBorder="1" applyAlignment="1">
      <alignment vertical="center" readingOrder="2"/>
    </xf>
    <xf numFmtId="0" fontId="46" fillId="18" borderId="17" xfId="1" applyFont="1" applyFill="1" applyBorder="1" applyAlignment="1">
      <alignment vertical="center" readingOrder="2"/>
    </xf>
    <xf numFmtId="1" fontId="22" fillId="0" borderId="0" xfId="0" applyNumberFormat="1" applyFont="1" applyFill="1" applyBorder="1" applyAlignment="1" applyProtection="1">
      <alignment horizontal="center" vertical="center" readingOrder="2"/>
    </xf>
    <xf numFmtId="0" fontId="34" fillId="0" borderId="1" xfId="0" applyFont="1" applyBorder="1"/>
    <xf numFmtId="0" fontId="35" fillId="0" borderId="1" xfId="0" applyFont="1" applyBorder="1"/>
    <xf numFmtId="0" fontId="35" fillId="0" borderId="0" xfId="0" applyFont="1"/>
    <xf numFmtId="1" fontId="25" fillId="0" borderId="0" xfId="1" applyNumberFormat="1" applyFont="1" applyFill="1" applyAlignment="1" applyProtection="1">
      <alignment vertical="center"/>
    </xf>
    <xf numFmtId="0" fontId="25" fillId="0" borderId="0" xfId="1" applyFont="1" applyFill="1" applyBorder="1" applyAlignment="1">
      <alignment horizontal="center" vertical="center" readingOrder="2"/>
    </xf>
    <xf numFmtId="0" fontId="55" fillId="0" borderId="0" xfId="1" applyFont="1" applyFill="1" applyAlignment="1">
      <alignment horizontal="right" vertical="center" readingOrder="2"/>
    </xf>
    <xf numFmtId="0" fontId="55" fillId="0" borderId="0" xfId="1" applyFont="1" applyFill="1" applyAlignment="1">
      <alignment horizontal="center" vertical="center" readingOrder="2"/>
    </xf>
    <xf numFmtId="0" fontId="55" fillId="0" borderId="0" xfId="1" applyFont="1" applyFill="1" applyAlignment="1">
      <alignment horizontal="center" vertical="center"/>
    </xf>
    <xf numFmtId="0" fontId="55" fillId="0" borderId="0" xfId="1" applyFont="1" applyFill="1" applyAlignment="1">
      <alignment horizontal="center" vertical="center" wrapText="1" readingOrder="2"/>
    </xf>
    <xf numFmtId="0" fontId="56" fillId="0" borderId="0" xfId="0" applyNumberFormat="1" applyFont="1" applyFill="1" applyBorder="1" applyAlignment="1">
      <alignment horizontal="center" vertical="center" readingOrder="2"/>
    </xf>
    <xf numFmtId="0" fontId="57" fillId="0" borderId="0" xfId="1" applyNumberFormat="1" applyFont="1" applyFill="1" applyAlignment="1">
      <alignment readingOrder="2"/>
    </xf>
    <xf numFmtId="166" fontId="57" fillId="0" borderId="0" xfId="0" applyNumberFormat="1" applyFont="1" applyFill="1" applyBorder="1" applyAlignment="1">
      <alignment readingOrder="2"/>
    </xf>
    <xf numFmtId="0" fontId="34" fillId="0" borderId="0" xfId="0" applyFont="1" applyAlignment="1">
      <alignment horizontal="right" readingOrder="2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1"/>
    <xf numFmtId="0" fontId="58" fillId="0" borderId="0" xfId="1" applyNumberFormat="1" applyFont="1"/>
    <xf numFmtId="1" fontId="58" fillId="0" borderId="0" xfId="1" applyNumberFormat="1" applyFont="1"/>
    <xf numFmtId="0" fontId="59" fillId="0" borderId="0" xfId="1" applyNumberFormat="1" applyFont="1"/>
    <xf numFmtId="0" fontId="60" fillId="0" borderId="0" xfId="1" applyNumberFormat="1" applyFont="1"/>
    <xf numFmtId="0" fontId="61" fillId="0" borderId="0" xfId="1" applyNumberFormat="1" applyFont="1"/>
    <xf numFmtId="0" fontId="62" fillId="0" borderId="0" xfId="1" applyNumberFormat="1" applyFont="1" applyFill="1"/>
    <xf numFmtId="9" fontId="62" fillId="0" borderId="0" xfId="1" applyNumberFormat="1" applyFont="1" applyFill="1"/>
    <xf numFmtId="0" fontId="27" fillId="11" borderId="4" xfId="5" applyNumberFormat="1" applyFont="1" applyFill="1" applyBorder="1" applyAlignment="1" applyProtection="1">
      <alignment horizontal="right" wrapText="1"/>
      <protection locked="0"/>
    </xf>
    <xf numFmtId="0" fontId="24" fillId="0" borderId="15" xfId="0" applyFont="1" applyBorder="1" applyAlignment="1" applyProtection="1">
      <alignment horizontal="right"/>
    </xf>
    <xf numFmtId="0" fontId="63" fillId="11" borderId="15" xfId="5" applyNumberFormat="1" applyFont="1" applyFill="1" applyBorder="1" applyAlignment="1" applyProtection="1">
      <alignment horizontal="right" vertical="center" wrapText="1"/>
    </xf>
    <xf numFmtId="0" fontId="63" fillId="11" borderId="15" xfId="5" applyNumberFormat="1" applyFont="1" applyFill="1" applyBorder="1" applyAlignment="1" applyProtection="1">
      <alignment horizontal="right" wrapText="1"/>
    </xf>
    <xf numFmtId="0" fontId="24" fillId="0" borderId="7" xfId="0" applyFont="1" applyBorder="1" applyAlignment="1" applyProtection="1">
      <alignment horizontal="right" vertical="center"/>
    </xf>
    <xf numFmtId="0" fontId="24" fillId="3" borderId="15" xfId="0" applyFont="1" applyFill="1" applyBorder="1" applyAlignment="1" applyProtection="1">
      <alignment vertical="center" readingOrder="2"/>
    </xf>
    <xf numFmtId="0" fontId="5" fillId="8" borderId="0" xfId="1" applyFill="1"/>
    <xf numFmtId="0" fontId="64" fillId="0" borderId="0" xfId="1" applyNumberFormat="1" applyFont="1"/>
    <xf numFmtId="0" fontId="64" fillId="0" borderId="0" xfId="1" applyNumberFormat="1" applyFont="1" applyFill="1"/>
    <xf numFmtId="166" fontId="62" fillId="0" borderId="0" xfId="1" applyNumberFormat="1" applyFont="1" applyFill="1"/>
    <xf numFmtId="1" fontId="22" fillId="0" borderId="0" xfId="1" applyNumberFormat="1" applyFont="1" applyFill="1" applyAlignment="1">
      <alignment vertical="center" wrapText="1"/>
    </xf>
    <xf numFmtId="0" fontId="22" fillId="0" borderId="0" xfId="1" applyNumberFormat="1" applyFont="1" applyFill="1" applyAlignment="1">
      <alignment horizontal="right" vertical="center" wrapText="1"/>
    </xf>
    <xf numFmtId="44" fontId="22" fillId="0" borderId="0" xfId="9" applyFont="1" applyFill="1" applyAlignment="1">
      <alignment vertical="center" wrapText="1"/>
    </xf>
    <xf numFmtId="0" fontId="22" fillId="0" borderId="0" xfId="9" applyNumberFormat="1" applyFont="1" applyFill="1" applyBorder="1" applyAlignment="1">
      <alignment horizontal="right" vertical="center" readingOrder="2"/>
    </xf>
    <xf numFmtId="44" fontId="22" fillId="0" borderId="76" xfId="9" applyFont="1" applyFill="1" applyBorder="1" applyAlignment="1">
      <alignment vertical="center" wrapText="1"/>
    </xf>
    <xf numFmtId="44" fontId="22" fillId="0" borderId="59" xfId="9" applyFont="1" applyFill="1" applyBorder="1" applyAlignment="1">
      <alignment vertical="center" wrapText="1"/>
    </xf>
    <xf numFmtId="0" fontId="65" fillId="0" borderId="0" xfId="1" applyNumberFormat="1" applyFont="1"/>
    <xf numFmtId="0" fontId="66" fillId="0" borderId="0" xfId="1" applyNumberFormat="1" applyFont="1"/>
    <xf numFmtId="0" fontId="42" fillId="18" borderId="62" xfId="0" applyFont="1" applyFill="1" applyBorder="1" applyAlignment="1">
      <alignment horizontal="center" vertical="center" wrapText="1" readingOrder="2"/>
    </xf>
    <xf numFmtId="0" fontId="24" fillId="6" borderId="21" xfId="0" applyFont="1" applyFill="1" applyBorder="1" applyAlignment="1">
      <alignment horizontal="center" vertical="center" readingOrder="2"/>
    </xf>
    <xf numFmtId="0" fontId="24" fillId="6" borderId="22" xfId="0" applyFont="1" applyFill="1" applyBorder="1" applyAlignment="1">
      <alignment horizontal="center" vertical="center" readingOrder="2"/>
    </xf>
    <xf numFmtId="0" fontId="24" fillId="6" borderId="2" xfId="0" applyFont="1" applyFill="1" applyBorder="1" applyAlignment="1">
      <alignment horizontal="center" vertical="center" readingOrder="2"/>
    </xf>
    <xf numFmtId="0" fontId="24" fillId="6" borderId="13" xfId="0" applyFont="1" applyFill="1" applyBorder="1" applyAlignment="1">
      <alignment horizontal="center" vertical="center" readingOrder="2"/>
    </xf>
    <xf numFmtId="0" fontId="24" fillId="6" borderId="14" xfId="0" applyFont="1" applyFill="1" applyBorder="1" applyAlignment="1">
      <alignment horizontal="center" vertical="center" readingOrder="2"/>
    </xf>
    <xf numFmtId="0" fontId="24" fillId="6" borderId="6" xfId="0" applyFont="1" applyFill="1" applyBorder="1" applyAlignment="1">
      <alignment horizontal="center" vertical="center" readingOrder="2"/>
    </xf>
    <xf numFmtId="0" fontId="24" fillId="6" borderId="27" xfId="0" applyFont="1" applyFill="1" applyBorder="1" applyAlignment="1">
      <alignment horizontal="center" vertical="center" readingOrder="2"/>
    </xf>
    <xf numFmtId="0" fontId="24" fillId="6" borderId="23" xfId="0" applyFont="1" applyFill="1" applyBorder="1" applyAlignment="1">
      <alignment horizontal="center" vertical="center" readingOrder="2"/>
    </xf>
    <xf numFmtId="0" fontId="24" fillId="6" borderId="6" xfId="0" applyFont="1" applyFill="1" applyBorder="1" applyAlignment="1" applyProtection="1">
      <alignment horizontal="center" vertical="center" readingOrder="2"/>
      <protection locked="0"/>
    </xf>
    <xf numFmtId="0" fontId="24" fillId="6" borderId="7" xfId="0" applyFont="1" applyFill="1" applyBorder="1" applyAlignment="1" applyProtection="1">
      <alignment horizontal="center" vertical="center" readingOrder="2"/>
      <protection locked="0"/>
    </xf>
    <xf numFmtId="0" fontId="24" fillId="6" borderId="27" xfId="0" applyFont="1" applyFill="1" applyBorder="1" applyAlignment="1" applyProtection="1">
      <alignment horizontal="center" vertical="center" readingOrder="2"/>
      <protection locked="0"/>
    </xf>
    <xf numFmtId="14" fontId="43" fillId="18" borderId="62" xfId="0" applyNumberFormat="1" applyFont="1" applyFill="1" applyBorder="1" applyAlignment="1">
      <alignment horizontal="center" vertical="center" wrapText="1" readingOrder="2"/>
    </xf>
    <xf numFmtId="0" fontId="43" fillId="18" borderId="62" xfId="0" applyFont="1" applyFill="1" applyBorder="1" applyAlignment="1">
      <alignment horizontal="center" vertical="center" wrapText="1" readingOrder="2"/>
    </xf>
    <xf numFmtId="0" fontId="35" fillId="6" borderId="6" xfId="0" applyFont="1" applyFill="1" applyBorder="1" applyAlignment="1">
      <alignment horizontal="center" vertical="center" wrapText="1" readingOrder="2"/>
    </xf>
    <xf numFmtId="0" fontId="35" fillId="6" borderId="27" xfId="0" applyFont="1" applyFill="1" applyBorder="1" applyAlignment="1">
      <alignment horizontal="center" vertical="center" wrapText="1" readingOrder="2"/>
    </xf>
    <xf numFmtId="0" fontId="24" fillId="0" borderId="63" xfId="0" applyFont="1" applyBorder="1" applyAlignment="1">
      <alignment horizontal="center" vertical="center" readingOrder="2"/>
    </xf>
    <xf numFmtId="0" fontId="24" fillId="0" borderId="64" xfId="0" applyFont="1" applyBorder="1" applyAlignment="1">
      <alignment horizontal="center" vertical="center" readingOrder="2"/>
    </xf>
    <xf numFmtId="0" fontId="35" fillId="6" borderId="6" xfId="0" applyFont="1" applyFill="1" applyBorder="1" applyAlignment="1" applyProtection="1">
      <alignment horizontal="center" vertical="center" readingOrder="2"/>
      <protection locked="0"/>
    </xf>
    <xf numFmtId="0" fontId="35" fillId="6" borderId="27" xfId="0" applyFont="1" applyFill="1" applyBorder="1" applyAlignment="1" applyProtection="1">
      <alignment horizontal="center" vertical="center" readingOrder="2"/>
      <protection locked="0"/>
    </xf>
    <xf numFmtId="0" fontId="35" fillId="6" borderId="21" xfId="0" applyFont="1" applyFill="1" applyBorder="1" applyAlignment="1" applyProtection="1">
      <alignment horizontal="center" vertical="center" readingOrder="2"/>
      <protection locked="0"/>
    </xf>
    <xf numFmtId="0" fontId="35" fillId="6" borderId="22" xfId="0" applyFont="1" applyFill="1" applyBorder="1" applyAlignment="1" applyProtection="1">
      <alignment horizontal="center" vertical="center" readingOrder="2"/>
      <protection locked="0"/>
    </xf>
    <xf numFmtId="0" fontId="35" fillId="8" borderId="0" xfId="0" applyFont="1" applyFill="1" applyAlignment="1">
      <alignment horizontal="center" vertical="center" readingOrder="2"/>
    </xf>
    <xf numFmtId="14" fontId="46" fillId="18" borderId="62" xfId="0" applyNumberFormat="1" applyFont="1" applyFill="1" applyBorder="1" applyAlignment="1" applyProtection="1">
      <alignment horizontal="center" vertical="center" wrapText="1"/>
    </xf>
    <xf numFmtId="0" fontId="46" fillId="18" borderId="62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24" fillId="6" borderId="27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horizontal="center" vertical="center"/>
    </xf>
    <xf numFmtId="0" fontId="24" fillId="8" borderId="7" xfId="0" applyFont="1" applyFill="1" applyBorder="1" applyAlignment="1" applyProtection="1">
      <alignment horizontal="center" vertical="center"/>
      <protection locked="0"/>
    </xf>
    <xf numFmtId="0" fontId="24" fillId="8" borderId="27" xfId="0" applyFont="1" applyFill="1" applyBorder="1" applyAlignment="1" applyProtection="1">
      <alignment horizontal="center" vertical="center"/>
      <protection locked="0"/>
    </xf>
    <xf numFmtId="0" fontId="24" fillId="8" borderId="6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</xf>
    <xf numFmtId="0" fontId="24" fillId="6" borderId="8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/>
    </xf>
    <xf numFmtId="0" fontId="24" fillId="6" borderId="27" xfId="0" applyFont="1" applyFill="1" applyBorder="1" applyAlignment="1" applyProtection="1">
      <alignment horizontal="center" vertical="center"/>
    </xf>
    <xf numFmtId="0" fontId="24" fillId="6" borderId="52" xfId="0" applyFont="1" applyFill="1" applyBorder="1" applyAlignment="1" applyProtection="1">
      <alignment horizontal="center" vertical="center"/>
    </xf>
    <xf numFmtId="0" fontId="24" fillId="6" borderId="53" xfId="0" applyFont="1" applyFill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54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 readingOrder="2"/>
    </xf>
    <xf numFmtId="0" fontId="24" fillId="0" borderId="50" xfId="0" applyFont="1" applyBorder="1" applyAlignment="1" applyProtection="1">
      <alignment horizontal="center" vertical="center" readingOrder="2"/>
    </xf>
    <xf numFmtId="14" fontId="46" fillId="18" borderId="62" xfId="0" applyNumberFormat="1" applyFont="1" applyFill="1" applyBorder="1" applyAlignment="1" applyProtection="1">
      <alignment horizontal="center" vertical="center" wrapText="1" readingOrder="2"/>
    </xf>
    <xf numFmtId="0" fontId="46" fillId="18" borderId="62" xfId="0" applyFont="1" applyFill="1" applyBorder="1" applyAlignment="1" applyProtection="1">
      <alignment horizontal="center" vertical="center" wrapText="1" readingOrder="2"/>
    </xf>
    <xf numFmtId="14" fontId="44" fillId="18" borderId="62" xfId="0" applyNumberFormat="1" applyFont="1" applyFill="1" applyBorder="1" applyAlignment="1" applyProtection="1">
      <alignment horizontal="center" vertical="center" wrapText="1" readingOrder="2"/>
    </xf>
    <xf numFmtId="0" fontId="44" fillId="18" borderId="62" xfId="0" applyFont="1" applyFill="1" applyBorder="1" applyAlignment="1" applyProtection="1">
      <alignment horizontal="center" vertical="center" wrapText="1" readingOrder="2"/>
    </xf>
    <xf numFmtId="0" fontId="24" fillId="6" borderId="2" xfId="0" applyFont="1" applyFill="1" applyBorder="1" applyAlignment="1" applyProtection="1">
      <alignment horizontal="center" vertical="center" readingOrder="2"/>
    </xf>
    <xf numFmtId="0" fontId="24" fillId="6" borderId="13" xfId="0" applyFont="1" applyFill="1" applyBorder="1" applyAlignment="1" applyProtection="1">
      <alignment horizontal="center" vertical="center" readingOrder="2"/>
    </xf>
    <xf numFmtId="0" fontId="24" fillId="6" borderId="14" xfId="0" applyFont="1" applyFill="1" applyBorder="1" applyAlignment="1" applyProtection="1">
      <alignment horizontal="center" vertical="center" readingOrder="2"/>
    </xf>
    <xf numFmtId="0" fontId="24" fillId="0" borderId="6" xfId="0" applyFont="1" applyBorder="1" applyAlignment="1" applyProtection="1">
      <alignment horizontal="center" vertical="center" readingOrder="2"/>
    </xf>
    <xf numFmtId="0" fontId="24" fillId="0" borderId="27" xfId="0" applyFont="1" applyBorder="1" applyAlignment="1" applyProtection="1">
      <alignment horizontal="center" vertical="center" readingOrder="2"/>
    </xf>
    <xf numFmtId="0" fontId="24" fillId="0" borderId="2" xfId="0" applyFont="1" applyBorder="1" applyAlignment="1" applyProtection="1">
      <alignment horizontal="center" vertical="center" readingOrder="2"/>
    </xf>
    <xf numFmtId="0" fontId="24" fillId="0" borderId="54" xfId="0" applyFont="1" applyBorder="1" applyAlignment="1" applyProtection="1">
      <alignment horizontal="center" vertical="center" readingOrder="2"/>
    </xf>
    <xf numFmtId="0" fontId="24" fillId="0" borderId="14" xfId="0" applyFont="1" applyBorder="1" applyAlignment="1" applyProtection="1">
      <alignment horizontal="center" vertical="center" readingOrder="2"/>
    </xf>
    <xf numFmtId="0" fontId="24" fillId="0" borderId="51" xfId="0" applyFont="1" applyBorder="1" applyAlignment="1" applyProtection="1">
      <alignment horizontal="center" vertical="center" readingOrder="2"/>
    </xf>
    <xf numFmtId="0" fontId="24" fillId="8" borderId="6" xfId="0" applyFont="1" applyFill="1" applyBorder="1" applyAlignment="1" applyProtection="1">
      <alignment horizontal="center" vertical="center" readingOrder="2"/>
      <protection locked="0"/>
    </xf>
    <xf numFmtId="0" fontId="24" fillId="8" borderId="7" xfId="0" applyFont="1" applyFill="1" applyBorder="1" applyAlignment="1" applyProtection="1">
      <alignment horizontal="center" vertical="center" readingOrder="2"/>
      <protection locked="0"/>
    </xf>
    <xf numFmtId="0" fontId="22" fillId="18" borderId="0" xfId="0" applyFont="1" applyFill="1" applyBorder="1" applyAlignment="1" applyProtection="1">
      <alignment horizontal="center" vertical="center"/>
    </xf>
    <xf numFmtId="0" fontId="38" fillId="18" borderId="73" xfId="1" applyFont="1" applyFill="1" applyBorder="1" applyAlignment="1">
      <alignment horizontal="center" vertical="center" readingOrder="2"/>
    </xf>
    <xf numFmtId="0" fontId="38" fillId="18" borderId="74" xfId="1" applyFont="1" applyFill="1" applyBorder="1" applyAlignment="1">
      <alignment horizontal="center" vertical="center" readingOrder="2"/>
    </xf>
    <xf numFmtId="0" fontId="38" fillId="18" borderId="65" xfId="1" applyFont="1" applyFill="1" applyBorder="1" applyAlignment="1">
      <alignment horizontal="center" vertical="center" readingOrder="2"/>
    </xf>
    <xf numFmtId="0" fontId="38" fillId="18" borderId="0" xfId="1" applyFont="1" applyFill="1" applyBorder="1" applyAlignment="1">
      <alignment horizontal="center" vertical="center" readingOrder="2"/>
    </xf>
    <xf numFmtId="14" fontId="46" fillId="18" borderId="15" xfId="1" applyNumberFormat="1" applyFont="1" applyFill="1" applyBorder="1" applyAlignment="1">
      <alignment horizontal="center" vertical="center" readingOrder="2"/>
    </xf>
    <xf numFmtId="14" fontId="46" fillId="18" borderId="16" xfId="1" applyNumberFormat="1" applyFont="1" applyFill="1" applyBorder="1" applyAlignment="1">
      <alignment horizontal="center" vertical="center" readingOrder="2"/>
    </xf>
    <xf numFmtId="14" fontId="46" fillId="18" borderId="17" xfId="1" applyNumberFormat="1" applyFont="1" applyFill="1" applyBorder="1" applyAlignment="1">
      <alignment horizontal="center" vertical="center" readingOrder="2"/>
    </xf>
    <xf numFmtId="14" fontId="51" fillId="18" borderId="62" xfId="0" applyNumberFormat="1" applyFont="1" applyFill="1" applyBorder="1" applyAlignment="1">
      <alignment horizontal="center" vertical="center" readingOrder="2"/>
    </xf>
    <xf numFmtId="0" fontId="51" fillId="18" borderId="62" xfId="0" applyFont="1" applyFill="1" applyBorder="1" applyAlignment="1">
      <alignment horizontal="center" vertical="center" readingOrder="2"/>
    </xf>
    <xf numFmtId="0" fontId="24" fillId="6" borderId="6" xfId="0" applyFont="1" applyFill="1" applyBorder="1" applyAlignment="1">
      <alignment horizontal="center" vertical="center" wrapText="1" readingOrder="2"/>
    </xf>
    <xf numFmtId="0" fontId="24" fillId="6" borderId="27" xfId="0" applyFont="1" applyFill="1" applyBorder="1" applyAlignment="1">
      <alignment horizontal="center" vertical="center" wrapText="1" readingOrder="2"/>
    </xf>
    <xf numFmtId="0" fontId="24" fillId="6" borderId="21" xfId="0" applyFont="1" applyFill="1" applyBorder="1" applyAlignment="1" applyProtection="1">
      <alignment horizontal="center" vertical="center" readingOrder="2"/>
      <protection locked="0"/>
    </xf>
    <xf numFmtId="0" fontId="24" fillId="6" borderId="23" xfId="0" applyFont="1" applyFill="1" applyBorder="1" applyAlignment="1" applyProtection="1">
      <alignment horizontal="center" vertical="center" readingOrder="2"/>
      <protection locked="0"/>
    </xf>
    <xf numFmtId="0" fontId="24" fillId="6" borderId="22" xfId="0" applyFont="1" applyFill="1" applyBorder="1" applyAlignment="1" applyProtection="1">
      <alignment horizontal="center" vertical="center" readingOrder="2"/>
      <protection locked="0"/>
    </xf>
    <xf numFmtId="0" fontId="24" fillId="6" borderId="15" xfId="0" applyFont="1" applyFill="1" applyBorder="1" applyAlignment="1">
      <alignment horizontal="center" vertical="center" readingOrder="2"/>
    </xf>
    <xf numFmtId="0" fontId="24" fillId="6" borderId="16" xfId="0" applyFont="1" applyFill="1" applyBorder="1" applyAlignment="1">
      <alignment horizontal="center" vertical="center" readingOrder="2"/>
    </xf>
    <xf numFmtId="0" fontId="24" fillId="6" borderId="17" xfId="0" applyFont="1" applyFill="1" applyBorder="1" applyAlignment="1">
      <alignment horizontal="center" vertical="center" readingOrder="2"/>
    </xf>
    <xf numFmtId="0" fontId="24" fillId="0" borderId="63" xfId="0" applyFont="1" applyFill="1" applyBorder="1" applyAlignment="1">
      <alignment horizontal="center" vertical="center" readingOrder="2"/>
    </xf>
    <xf numFmtId="0" fontId="24" fillId="0" borderId="64" xfId="0" applyFont="1" applyFill="1" applyBorder="1" applyAlignment="1">
      <alignment horizontal="center" vertical="center" readingOrder="2"/>
    </xf>
    <xf numFmtId="0" fontId="24" fillId="6" borderId="6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24" fillId="6" borderId="21" xfId="0" applyFont="1" applyFill="1" applyBorder="1" applyAlignment="1" applyProtection="1">
      <alignment horizontal="center" vertical="center"/>
      <protection locked="0"/>
    </xf>
    <xf numFmtId="0" fontId="24" fillId="6" borderId="22" xfId="0" applyFont="1" applyFill="1" applyBorder="1" applyAlignment="1" applyProtection="1">
      <alignment horizontal="center" vertical="center"/>
      <protection locked="0"/>
    </xf>
    <xf numFmtId="14" fontId="42" fillId="18" borderId="62" xfId="0" applyNumberFormat="1" applyFont="1" applyFill="1" applyBorder="1" applyAlignment="1">
      <alignment horizontal="center" vertical="center" wrapText="1"/>
    </xf>
    <xf numFmtId="0" fontId="42" fillId="18" borderId="6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43" fillId="18" borderId="6" xfId="0" applyFont="1" applyFill="1" applyBorder="1" applyAlignment="1">
      <alignment horizontal="center" vertical="center"/>
    </xf>
    <xf numFmtId="0" fontId="43" fillId="18" borderId="8" xfId="0" applyFont="1" applyFill="1" applyBorder="1" applyAlignment="1">
      <alignment horizontal="center" vertical="center"/>
    </xf>
    <xf numFmtId="0" fontId="37" fillId="20" borderId="65" xfId="0" applyFont="1" applyFill="1" applyBorder="1" applyAlignment="1" applyProtection="1">
      <alignment horizontal="center" vertical="center"/>
    </xf>
    <xf numFmtId="0" fontId="37" fillId="20" borderId="66" xfId="0" applyFont="1" applyFill="1" applyBorder="1" applyAlignment="1" applyProtection="1">
      <alignment horizontal="center" vertical="center"/>
    </xf>
    <xf numFmtId="14" fontId="44" fillId="18" borderId="71" xfId="0" applyNumberFormat="1" applyFont="1" applyFill="1" applyBorder="1" applyAlignment="1" applyProtection="1">
      <alignment horizontal="center" vertical="center" readingOrder="2"/>
    </xf>
    <xf numFmtId="0" fontId="44" fillId="18" borderId="71" xfId="0" applyFont="1" applyFill="1" applyBorder="1" applyAlignment="1" applyProtection="1">
      <alignment horizontal="center" vertical="center" readingOrder="2"/>
    </xf>
    <xf numFmtId="0" fontId="25" fillId="0" borderId="0" xfId="1" applyFont="1" applyFill="1" applyBorder="1" applyAlignment="1">
      <alignment horizontal="center" vertical="center" readingOrder="2"/>
    </xf>
    <xf numFmtId="0" fontId="49" fillId="0" borderId="0" xfId="0" applyFont="1" applyFill="1" applyBorder="1" applyAlignment="1">
      <alignment horizontal="center" vertical="center" readingOrder="2"/>
    </xf>
    <xf numFmtId="0" fontId="40" fillId="4" borderId="1" xfId="1" applyFont="1" applyFill="1" applyBorder="1" applyAlignment="1">
      <alignment horizontal="center" vertical="center" readingOrder="2"/>
    </xf>
    <xf numFmtId="0" fontId="40" fillId="4" borderId="67" xfId="1" applyFont="1" applyFill="1" applyBorder="1" applyAlignment="1">
      <alignment horizontal="center" vertical="center" readingOrder="2"/>
    </xf>
    <xf numFmtId="0" fontId="40" fillId="4" borderId="20" xfId="1" applyFont="1" applyFill="1" applyBorder="1" applyAlignment="1">
      <alignment horizontal="center" vertical="center" readingOrder="2"/>
    </xf>
    <xf numFmtId="0" fontId="50" fillId="18" borderId="35" xfId="1" applyFont="1" applyFill="1" applyBorder="1" applyAlignment="1">
      <alignment horizontal="center" vertical="center"/>
    </xf>
    <xf numFmtId="0" fontId="50" fillId="18" borderId="50" xfId="1" applyFont="1" applyFill="1" applyBorder="1" applyAlignment="1">
      <alignment horizontal="center" vertical="center"/>
    </xf>
    <xf numFmtId="0" fontId="50" fillId="18" borderId="24" xfId="1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4" fontId="24" fillId="0" borderId="6" xfId="0" applyNumberFormat="1" applyFont="1" applyBorder="1" applyAlignment="1">
      <alignment horizontal="center" vertical="center"/>
    </xf>
    <xf numFmtId="14" fontId="24" fillId="0" borderId="7" xfId="0" applyNumberFormat="1" applyFont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vertical="center"/>
    </xf>
    <xf numFmtId="0" fontId="33" fillId="19" borderId="15" xfId="0" applyFont="1" applyFill="1" applyBorder="1" applyAlignment="1">
      <alignment horizontal="center" vertical="center"/>
    </xf>
    <xf numFmtId="0" fontId="33" fillId="19" borderId="16" xfId="0" applyFont="1" applyFill="1" applyBorder="1" applyAlignment="1">
      <alignment horizontal="center" vertical="center"/>
    </xf>
    <xf numFmtId="0" fontId="33" fillId="19" borderId="17" xfId="0" applyFont="1" applyFill="1" applyBorder="1" applyAlignment="1">
      <alignment horizontal="center" vertical="center"/>
    </xf>
    <xf numFmtId="2" fontId="12" fillId="13" borderId="37" xfId="1" applyNumberFormat="1" applyFont="1" applyFill="1" applyBorder="1" applyAlignment="1">
      <alignment horizontal="center" vertical="center" readingOrder="2"/>
    </xf>
    <xf numFmtId="2" fontId="12" fillId="13" borderId="38" xfId="1" applyNumberFormat="1" applyFont="1" applyFill="1" applyBorder="1" applyAlignment="1">
      <alignment horizontal="center" vertical="center" readingOrder="2"/>
    </xf>
    <xf numFmtId="0" fontId="11" fillId="0" borderId="33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43" fillId="18" borderId="0" xfId="0" applyFont="1" applyFill="1" applyAlignment="1">
      <alignment horizontal="center" vertical="center" wrapText="1"/>
    </xf>
    <xf numFmtId="0" fontId="24" fillId="0" borderId="3" xfId="0" applyFont="1" applyBorder="1" applyAlignment="1">
      <alignment horizontal="right" vertical="center" readingOrder="2"/>
    </xf>
    <xf numFmtId="0" fontId="24" fillId="0" borderId="1" xfId="0" applyFont="1" applyBorder="1" applyAlignment="1">
      <alignment horizontal="right" vertical="center" readingOrder="2"/>
    </xf>
    <xf numFmtId="0" fontId="24" fillId="6" borderId="8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43" fillId="18" borderId="21" xfId="0" applyFont="1" applyFill="1" applyBorder="1" applyAlignment="1">
      <alignment horizontal="center" vertical="center" wrapText="1"/>
    </xf>
    <xf numFmtId="0" fontId="43" fillId="18" borderId="23" xfId="0" applyFont="1" applyFill="1" applyBorder="1" applyAlignment="1">
      <alignment horizontal="center" vertical="center" wrapText="1"/>
    </xf>
    <xf numFmtId="0" fontId="43" fillId="18" borderId="22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/>
    </xf>
    <xf numFmtId="0" fontId="26" fillId="8" borderId="27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48" xfId="0" applyFont="1" applyBorder="1" applyAlignment="1">
      <alignment horizontal="right" vertical="center"/>
    </xf>
    <xf numFmtId="0" fontId="22" fillId="0" borderId="6" xfId="0" applyFont="1" applyBorder="1" applyAlignment="1" applyProtection="1">
      <alignment horizontal="right" vertical="center"/>
    </xf>
    <xf numFmtId="0" fontId="22" fillId="0" borderId="27" xfId="0" applyFont="1" applyBorder="1" applyAlignment="1" applyProtection="1">
      <alignment horizontal="right" vertical="center"/>
    </xf>
  </cellXfs>
  <cellStyles count="13">
    <cellStyle name="Accent4 2" xfId="6"/>
    <cellStyle name="Comma [0] 2" xfId="7"/>
    <cellStyle name="Comma 2" xfId="11"/>
    <cellStyle name="Currency" xfId="9" builtinId="4"/>
    <cellStyle name="Currency 2" xfId="4"/>
    <cellStyle name="Input 2" xfId="8"/>
    <cellStyle name="Normal" xfId="0" builtinId="0"/>
    <cellStyle name="Normal 2" xfId="1"/>
    <cellStyle name="Normal 3" xfId="2"/>
    <cellStyle name="Normal 4" xfId="12"/>
    <cellStyle name="Normal_גיליון1" xfId="5"/>
    <cellStyle name="Percent" xfId="3" builtinId="5"/>
    <cellStyle name="היפר-קישור" xfId="10" builtinId="8"/>
  </cellStyles>
  <dxfs count="1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 [$₪-40D]\ * #,##0.00_ ;_ [$₪-40D]\ * \-#,##0.00_ ;_ [$₪-40D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Bold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numFmt numFmtId="166" formatCode="_ [$₪-40D]\ * #,##0.00_ ;_ [$₪-40D]\ * \-#,##0.00_ ;_ [$₪-40D]\ * &quot;-&quot;??_ ;_ @_ "/>
      <alignment horizontal="center" vertical="bottom" textRotation="0" wrapText="0" indent="0" justifyLastLine="0" shrinkToFit="0" readingOrder="0"/>
    </dxf>
    <dxf>
      <numFmt numFmtId="166" formatCode="_ [$₪-40D]\ * #,##0.00_ ;_ [$₪-40D]\ * \-#,##0.00_ ;_ [$₪-40D]\ * &quot;-&quot;??_ ;_ @_ 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34" formatCode="_ &quot;₪&quot;\ * #,##0.00_ ;_ &quot;₪&quot;\ * \-#,##0.00_ ;_ &quot;₪&quot;\ * &quot;-&quot;??_ ;_ @_ 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7" formatCode="[Black]0.00;[Red]\-0.00;[Red]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(Hebrew)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7" tint="0.59999389629810485"/>
        </patternFill>
      </fill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7" tint="0.5999938962981048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border outline="0">
        <bottom style="thin">
          <color theme="4" tint="0.39997558519241921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name val="Calibri"/>
        <scheme val="none"/>
      </font>
      <alignment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vertic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2"/>
      <protection locked="1" hidden="0"/>
    </dxf>
    <dxf>
      <alignment horizontal="right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3" formatCode="0%"/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 &quot;₪&quot;\ * #,##0.00_ ;_ &quot;₪&quot;\ * \-#,##0.00_ ;_ &quot;₪&quot;\ * &quot;-&quot;??_ ;_ @_ "/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7" tint="0.5999938962981048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_ [$₪-40D]\ * #,##0.00_ ;_ [$₪-40D]\ * \-#,##0.00_ ;_ [$₪-40D]\ * &quot;-&quot;??_ ;_ @_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7" tint="0.59999389629810485"/>
        </patternFill>
      </fill>
      <alignment horizontal="right" vertical="center" textRotation="0" wrapText="0" indent="0" justifyLastLine="0" shrinkToFit="0" readingOrder="2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70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  <protection locked="1" hidden="0"/>
    </dxf>
    <dxf>
      <alignment horizontal="right" vertical="center" textRotation="0" wrapText="0" indent="0" justifyLastLine="0" shrinkToFit="0" readingOrder="2"/>
    </dxf>
    <dxf>
      <alignment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alignment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textRotation="0" wrapText="0" indent="0" justifyLastLine="0" shrinkToFit="0" readingOrder="2"/>
    </dxf>
    <dxf>
      <numFmt numFmtId="0" formatCode="General"/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0</xdr:row>
          <xdr:rowOff>22860</xdr:rowOff>
        </xdr:from>
        <xdr:to>
          <xdr:col>1</xdr:col>
          <xdr:colOff>320040</xdr:colOff>
          <xdr:row>0</xdr:row>
          <xdr:rowOff>45720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9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</xdr:row>
          <xdr:rowOff>45720</xdr:rowOff>
        </xdr:from>
        <xdr:to>
          <xdr:col>1</xdr:col>
          <xdr:colOff>335280</xdr:colOff>
          <xdr:row>1</xdr:row>
          <xdr:rowOff>91440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9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2</xdr:row>
          <xdr:rowOff>38100</xdr:rowOff>
        </xdr:from>
        <xdr:to>
          <xdr:col>1</xdr:col>
          <xdr:colOff>335280</xdr:colOff>
          <xdr:row>2</xdr:row>
          <xdr:rowOff>83820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9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0</xdr:row>
          <xdr:rowOff>22860</xdr:rowOff>
        </xdr:from>
        <xdr:to>
          <xdr:col>1</xdr:col>
          <xdr:colOff>320040</xdr:colOff>
          <xdr:row>0</xdr:row>
          <xdr:rowOff>45720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A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</xdr:row>
          <xdr:rowOff>45720</xdr:rowOff>
        </xdr:from>
        <xdr:to>
          <xdr:col>1</xdr:col>
          <xdr:colOff>335280</xdr:colOff>
          <xdr:row>1</xdr:row>
          <xdr:rowOff>91440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A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2</xdr:row>
          <xdr:rowOff>38100</xdr:rowOff>
        </xdr:from>
        <xdr:to>
          <xdr:col>1</xdr:col>
          <xdr:colOff>335280</xdr:colOff>
          <xdr:row>2</xdr:row>
          <xdr:rowOff>83820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A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g/Desktop/&#1502;&#1495;&#1513;&#1489;&#1493;&#1503;%20&#1492;&#1499;&#1504;&#1492;%20&#1495;&#1504;&#1493;&#1499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g/Desktop/&#1502;&#1495;&#1513;&#1489;&#1493;&#1503;%20&#1492;&#1499;&#1504;&#1493;&#1514;%20&#1511;&#1496;&#1504;&#1493;&#1514;%20&#1502;&#15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כנון ארוחות"/>
      <sheetName val="פת שחרית"/>
      <sheetName val="קיטים"/>
      <sheetName val="א.בוקר"/>
      <sheetName val="א.צהריים"/>
      <sheetName val="ארוחת ערב"/>
      <sheetName val="מרק"/>
      <sheetName val="קיטים ארוחת ערב"/>
      <sheetName val="קיטים מיוחדים"/>
      <sheetName val="אקסטרה"/>
      <sheetName val="חישוב בלי תבלינים"/>
      <sheetName val="חד&quot;פ"/>
      <sheetName val="טופס הזמנה"/>
      <sheetName val="תמחור קיט ליום"/>
      <sheetName val="גיליון1"/>
      <sheetName val="קוסקוס"/>
      <sheetName val="מחשבון הכנה חנוכ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ת שחרית"/>
      <sheetName val="בוקר+צהרים"/>
      <sheetName val="קיטים"/>
      <sheetName val="בוקר+צהרים לא בשימוש"/>
      <sheetName val="מרק"/>
      <sheetName val="ערב"/>
      <sheetName val="קיטים מיוחדים"/>
      <sheetName val="חד&quot;פ"/>
      <sheetName val="טופס הזמנה"/>
      <sheetName val="תמחור קיט ליום"/>
      <sheetName val="גיליון1"/>
      <sheetName val="תוספות"/>
      <sheetName val="הזמנה - סופית לא לגעת !!!"/>
      <sheetName val="מחשבון הכנות קטנות מ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3" name="טבלה3" displayName="טבלה3" ref="K10:N12" totalsRowShown="0" tableBorderDxfId="1151">
  <autoFilter ref="K10:N12"/>
  <tableColumns count="4">
    <tableColumn id="1" name="מקט"/>
    <tableColumn id="2" name="מוצר"/>
    <tableColumn id="3" name="גודל אריזה "/>
    <tableColumn id="4" name="כמות" dataDxfId="1150">
      <calculatedColumnFormula>SUMIF($E$4:$E$12,טבלה3[[#This Row],[מוצר]],$H$4:$H$12)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9" name="טבלה15" displayName="טבלה15" ref="A33:FP53" totalsRowShown="0" headerRowDxfId="924" dataDxfId="923" headerRowCellStyle="Normal 2">
  <autoFilter ref="A33:FP53"/>
  <tableColumns count="172">
    <tableColumn id="1" name="מחלקה" dataDxfId="922"/>
    <tableColumn id="2" name="מס" dataDxfId="921"/>
    <tableColumn id="3" name="מק&quot;ט" dataDxfId="920"/>
    <tableColumn id="4" name="מחיר" dataDxfId="919" dataCellStyle="Normal 2"/>
    <tableColumn id="5" name="כמות במחיר" dataDxfId="918"/>
    <tableColumn id="6" name="מחיר ליח'" dataDxfId="917" dataCellStyle="Currency">
      <calculatedColumnFormula>D34/E34</calculatedColumnFormula>
    </tableColumn>
    <tableColumn id="7" name="% מעם" dataDxfId="916" dataCellStyle="Percent"/>
    <tableColumn id="8" name="מעם" dataDxfId="915" dataCellStyle="Currency">
      <calculatedColumnFormula>'בוקר צהרים קיטים '!$F34*'בוקר צהרים קיטים '!$G34</calculatedColumnFormula>
    </tableColumn>
    <tableColumn id="9" name="מחיר לקיט כולל" dataDxfId="914">
      <calculatedColumnFormula>(H34+F34)*M34</calculatedColumnFormula>
    </tableColumn>
    <tableColumn id="10" name="מוצר" dataDxfId="913"/>
    <tableColumn id="11" name="מפתח" dataDxfId="912" dataCellStyle="Normal 2"/>
    <tableColumn id="12" name="מפתח2" dataDxfId="911"/>
    <tableColumn id="13" name="1" dataDxfId="910"/>
    <tableColumn id="14" name="2" dataDxfId="909"/>
    <tableColumn id="15" name="3" dataDxfId="908"/>
    <tableColumn id="16" name="4" dataDxfId="907"/>
    <tableColumn id="17" name="5" dataDxfId="906"/>
    <tableColumn id="18" name="6" dataDxfId="905"/>
    <tableColumn id="19" name="7" dataDxfId="904"/>
    <tableColumn id="20" name="8" dataDxfId="903"/>
    <tableColumn id="21" name="9" dataDxfId="902"/>
    <tableColumn id="22" name="10" dataDxfId="901"/>
    <tableColumn id="23" name="11" dataDxfId="900"/>
    <tableColumn id="24" name="12" dataDxfId="899"/>
    <tableColumn id="25" name="13" dataDxfId="898"/>
    <tableColumn id="71" name="14" dataDxfId="897"/>
    <tableColumn id="72" name="15" dataDxfId="896"/>
    <tableColumn id="73" name="16" dataDxfId="895"/>
    <tableColumn id="74" name="17" dataDxfId="894"/>
    <tableColumn id="75" name="18" dataDxfId="893"/>
    <tableColumn id="76" name="19" dataDxfId="892"/>
    <tableColumn id="77" name="20" dataDxfId="891"/>
    <tableColumn id="78" name="21" dataDxfId="890"/>
    <tableColumn id="79" name="22" dataDxfId="889"/>
    <tableColumn id="80" name="23" dataDxfId="888"/>
    <tableColumn id="81" name="24" dataDxfId="887"/>
    <tableColumn id="60" name="25" dataDxfId="886"/>
    <tableColumn id="61" name="26" dataDxfId="885"/>
    <tableColumn id="62" name="27" dataDxfId="884"/>
    <tableColumn id="63" name="28" dataDxfId="883"/>
    <tableColumn id="64" name="29" dataDxfId="882"/>
    <tableColumn id="65" name="30" dataDxfId="881"/>
    <tableColumn id="66" name="31" dataDxfId="880"/>
    <tableColumn id="67" name="32" dataDxfId="879"/>
    <tableColumn id="68" name="33" dataDxfId="878"/>
    <tableColumn id="69" name="34" dataDxfId="877"/>
    <tableColumn id="70" name="35" dataDxfId="876"/>
    <tableColumn id="49" name="36" dataDxfId="875"/>
    <tableColumn id="50" name="37" dataDxfId="874"/>
    <tableColumn id="51" name="38" dataDxfId="873"/>
    <tableColumn id="52" name="39" dataDxfId="872"/>
    <tableColumn id="53" name="40" dataDxfId="871"/>
    <tableColumn id="94" name="41" dataDxfId="870"/>
    <tableColumn id="95" name="42" dataDxfId="869"/>
    <tableColumn id="96" name="43" dataDxfId="868"/>
    <tableColumn id="97" name="44" dataDxfId="867"/>
    <tableColumn id="100" name="45" dataDxfId="866"/>
    <tableColumn id="102" name="46" dataDxfId="865"/>
    <tableColumn id="101" name="47" dataDxfId="864"/>
    <tableColumn id="98" name="48" dataDxfId="863"/>
    <tableColumn id="99" name="49" dataDxfId="862"/>
    <tableColumn id="54" name="50" dataDxfId="861"/>
    <tableColumn id="55" name="51" dataDxfId="860"/>
    <tableColumn id="56" name="52" dataDxfId="859"/>
    <tableColumn id="57" name="53" dataDxfId="858"/>
    <tableColumn id="58" name="54" dataDxfId="857"/>
    <tableColumn id="59" name="55" dataDxfId="856"/>
    <tableColumn id="26" name="56" dataDxfId="855"/>
    <tableColumn id="149" name="57" dataDxfId="854"/>
    <tableColumn id="150" name="58" dataDxfId="853"/>
    <tableColumn id="151" name="59" dataDxfId="852"/>
    <tableColumn id="152" name="60" dataDxfId="851"/>
    <tableColumn id="153" name="61" dataDxfId="850"/>
    <tableColumn id="154" name="62" dataDxfId="849"/>
    <tableColumn id="155" name="63" dataDxfId="848"/>
    <tableColumn id="156" name="64" dataDxfId="847"/>
    <tableColumn id="157" name="65" dataDxfId="846"/>
    <tableColumn id="158" name="66" dataDxfId="845"/>
    <tableColumn id="159" name="67" dataDxfId="844"/>
    <tableColumn id="160" name="68" dataDxfId="843"/>
    <tableColumn id="161" name="69" dataDxfId="842"/>
    <tableColumn id="162" name="70" dataDxfId="841"/>
    <tableColumn id="163" name="71" dataDxfId="840"/>
    <tableColumn id="130" name="72" dataDxfId="839"/>
    <tableColumn id="131" name="73" dataDxfId="838"/>
    <tableColumn id="132" name="74" dataDxfId="837"/>
    <tableColumn id="133" name="75" dataDxfId="836"/>
    <tableColumn id="134" name="76" dataDxfId="835"/>
    <tableColumn id="135" name="77" dataDxfId="834"/>
    <tableColumn id="136" name="78" dataDxfId="833"/>
    <tableColumn id="137" name="79" dataDxfId="832"/>
    <tableColumn id="138" name="80" dataDxfId="831"/>
    <tableColumn id="139" name="81" dataDxfId="830"/>
    <tableColumn id="140" name="82" dataDxfId="829"/>
    <tableColumn id="141" name="83" dataDxfId="828"/>
    <tableColumn id="142" name="84" dataDxfId="827"/>
    <tableColumn id="143" name="85" dataDxfId="826"/>
    <tableColumn id="144" name="86" dataDxfId="825"/>
    <tableColumn id="145" name="87" dataDxfId="824"/>
    <tableColumn id="146" name="88" dataDxfId="823"/>
    <tableColumn id="147" name="89" dataDxfId="822"/>
    <tableColumn id="148" name="90" dataDxfId="821"/>
    <tableColumn id="111" name="91" dataDxfId="820"/>
    <tableColumn id="112" name="92" dataDxfId="819"/>
    <tableColumn id="113" name="93" dataDxfId="818"/>
    <tableColumn id="114" name="94" dataDxfId="817"/>
    <tableColumn id="115" name="95" dataDxfId="816"/>
    <tableColumn id="116" name="96" dataDxfId="815"/>
    <tableColumn id="117" name="97" dataDxfId="814"/>
    <tableColumn id="118" name="98" dataDxfId="813"/>
    <tableColumn id="119" name="99" dataDxfId="812"/>
    <tableColumn id="120" name="100" dataDxfId="811"/>
    <tableColumn id="121" name="101" dataDxfId="810"/>
    <tableColumn id="122" name="102" dataDxfId="809"/>
    <tableColumn id="123" name="103" dataDxfId="808"/>
    <tableColumn id="124" name="104" dataDxfId="807"/>
    <tableColumn id="125" name="105" dataDxfId="806"/>
    <tableColumn id="126" name="106" dataDxfId="805"/>
    <tableColumn id="127" name="107" dataDxfId="804"/>
    <tableColumn id="128" name="108" dataDxfId="803"/>
    <tableColumn id="129" name="109" dataDxfId="802"/>
    <tableColumn id="83" name="110" dataDxfId="801"/>
    <tableColumn id="84" name="111" dataDxfId="800"/>
    <tableColumn id="85" name="112" dataDxfId="799"/>
    <tableColumn id="86" name="113" dataDxfId="798"/>
    <tableColumn id="87" name="114" dataDxfId="797"/>
    <tableColumn id="88" name="115" dataDxfId="796"/>
    <tableColumn id="89" name="116" dataDxfId="795"/>
    <tableColumn id="90" name="117" dataDxfId="794"/>
    <tableColumn id="91" name="118" dataDxfId="793"/>
    <tableColumn id="92" name="119" dataDxfId="792"/>
    <tableColumn id="93" name="120" dataDxfId="791"/>
    <tableColumn id="103" name="121" dataDxfId="790"/>
    <tableColumn id="104" name="122" dataDxfId="789"/>
    <tableColumn id="105" name="123" dataDxfId="788"/>
    <tableColumn id="106" name="124" dataDxfId="787"/>
    <tableColumn id="107" name="125" dataDxfId="786"/>
    <tableColumn id="108" name="126" dataDxfId="785"/>
    <tableColumn id="109" name="127" dataDxfId="784"/>
    <tableColumn id="110" name="128" dataDxfId="783"/>
    <tableColumn id="27" name="129" dataDxfId="782"/>
    <tableColumn id="28" name="130" dataDxfId="781"/>
    <tableColumn id="29" name="131" dataDxfId="780"/>
    <tableColumn id="30" name="132" dataDxfId="779"/>
    <tableColumn id="31" name="133" dataDxfId="778"/>
    <tableColumn id="32" name="134" dataDxfId="777"/>
    <tableColumn id="33" name="135" dataDxfId="776"/>
    <tableColumn id="34" name="136" dataDxfId="775"/>
    <tableColumn id="35" name="137" dataDxfId="774"/>
    <tableColumn id="36" name="138" dataDxfId="773"/>
    <tableColumn id="37" name="139" dataDxfId="772"/>
    <tableColumn id="38" name="140" dataDxfId="771"/>
    <tableColumn id="39" name="141" dataDxfId="770"/>
    <tableColumn id="40" name="142" dataDxfId="769"/>
    <tableColumn id="164" name="143" dataDxfId="768"/>
    <tableColumn id="171" name="144" dataDxfId="767"/>
    <tableColumn id="169" name="145" dataDxfId="766"/>
    <tableColumn id="170" name="146" dataDxfId="765"/>
    <tableColumn id="165" name="147" dataDxfId="764"/>
    <tableColumn id="166" name="148" dataDxfId="763"/>
    <tableColumn id="167" name="149" dataDxfId="762"/>
    <tableColumn id="168" name="150" dataDxfId="761"/>
    <tableColumn id="41" name="151" dataDxfId="760"/>
    <tableColumn id="42" name="152" dataDxfId="759"/>
    <tableColumn id="43" name="153" dataDxfId="758"/>
    <tableColumn id="44" name="154" dataDxfId="757"/>
    <tableColumn id="48" name="155" dataDxfId="756"/>
    <tableColumn id="45" name="156" dataDxfId="755"/>
    <tableColumn id="47" name="סה&quot;כ" dataDxfId="754">
      <calculatedColumnFormula>SUM(טבלה15[[#This Row],[1]:[156]])</calculatedColumnFormula>
    </tableColumn>
    <tableColumn id="46" name="הזמנה" dataDxfId="753" dataCellStyle="Normal 2">
      <calculatedColumnFormula>טבלה15[[#This Row],[סה"כ]]</calculatedColumnFormula>
    </tableColumn>
    <tableColumn id="82" name="עמודה1" dataDxfId="752">
      <calculatedColumnFormula>טבלה15[[#This Row],[מוצר]]</calculatedColumnFormula>
    </tableColumn>
    <tableColumn id="172" name="עמודה2" dataDxfId="75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2" name="טבלה125" displayName="טבלה125" ref="M5:P15" totalsRowShown="0" headerRowDxfId="750" dataDxfId="749">
  <autoFilter ref="M5:P15"/>
  <sortState ref="M6:O17">
    <sortCondition ref="M5:M17"/>
  </sortState>
  <tableColumns count="4">
    <tableColumn id="1" name="מקט" dataDxfId="748"/>
    <tableColumn id="2" name="מוצר" dataDxfId="747"/>
    <tableColumn id="3" name="גודל אריזה " dataDxfId="746"/>
    <tableColumn id="4" name="כמות" dataDxfId="745">
      <calculatedColumnFormula>SUMIF($E$7:$E$44,טבלה125[[#This Row],[מוצר]],$I$7:$I$44)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6" name="טבלה36" displayName="טבלה36" ref="M18:P20" totalsRowShown="0" headerRowDxfId="744" dataDxfId="743">
  <autoFilter ref="M18:P20"/>
  <tableColumns count="4">
    <tableColumn id="1" name="מקט" dataDxfId="742"/>
    <tableColumn id="2" name="מוצר" dataDxfId="741"/>
    <tableColumn id="3" name="גודל אריזה " dataDxfId="740"/>
    <tableColumn id="4" name="כמות" dataDxfId="739">
      <calculatedColumnFormula>SUMIF($E$7:$E$44,N19,$I$7:$I$44)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טבלה1151718" displayName="טבלה1151718" ref="J3:M8" totalsRowShown="0" headerRowDxfId="738" dataDxfId="737">
  <autoFilter ref="J3:M8"/>
  <tableColumns count="4">
    <tableColumn id="4" name="מקט" dataDxfId="736"/>
    <tableColumn id="1" name="מוצר" dataDxfId="735"/>
    <tableColumn id="2" name="גודל אריזה " dataDxfId="734"/>
    <tableColumn id="3" name="כמות" dataDxfId="733">
      <calculatedColumnFormula>SUMIF($D$5:$D$34,טבלה1151718[[#This Row],[מוצר]],$G$5:$G$34)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3" name="טבלה23" displayName="טבלה23" ref="J11:M12" totalsRowShown="0" dataDxfId="731" headerRowBorderDxfId="732" tableBorderDxfId="730">
  <autoFilter ref="J11:M12"/>
  <tableColumns count="4">
    <tableColumn id="1" name="מקט" dataDxfId="729"/>
    <tableColumn id="2" name="מוצר" dataDxfId="728"/>
    <tableColumn id="3" name="גודל אריזה " dataDxfId="727"/>
    <tableColumn id="4" name="כמות" dataDxfId="726">
      <calculatedColumnFormula>SUMIF($D$5:$D$34,טבלה23[[#This Row],[מוצר]],$G$5:$G$34)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" name="טבלה17" displayName="טבלה17" ref="A10:AN33" totalsRowShown="0" headerRowDxfId="725" dataDxfId="724" headerRowCellStyle="Normal 2" dataCellStyle="Normal 2">
  <autoFilter ref="A10:AN33"/>
  <tableColumns count="40">
    <tableColumn id="1" name="ארוחה" dataDxfId="723" dataCellStyle="Normal 2"/>
    <tableColumn id="2" name="מק&quot;ט" dataDxfId="722" dataCellStyle="Normal 2"/>
    <tableColumn id="3" name="מחיר" dataDxfId="721" dataCellStyle="Normal 2"/>
    <tableColumn id="4" name="כמות במחיר" dataDxfId="720" dataCellStyle="Normal 2"/>
    <tableColumn id="5" name="מחיר ליח'" dataDxfId="719" dataCellStyle="Normal 2">
      <calculatedColumnFormula>C11/D11</calculatedColumnFormula>
    </tableColumn>
    <tableColumn id="6" name="% מעם" dataDxfId="718" dataCellStyle="Percent"/>
    <tableColumn id="7" name="מעם" dataDxfId="717" dataCellStyle="Currency">
      <calculatedColumnFormula>E11*F11</calculatedColumnFormula>
    </tableColumn>
    <tableColumn id="8" name="מחיר לקיט כולל" dataDxfId="716" dataCellStyle="Currency">
      <calculatedColumnFormula>(G11+E11)*#REF!</calculatedColumnFormula>
    </tableColumn>
    <tableColumn id="9" name="מוצר" dataDxfId="715" dataCellStyle="Normal 2"/>
    <tableColumn id="10" name="מפתח" dataDxfId="714" dataCellStyle="Normal 2"/>
    <tableColumn id="11" name="מפתח2" dataDxfId="713"/>
    <tableColumn id="58" name="1" dataDxfId="712"/>
    <tableColumn id="59" name="2" dataDxfId="711"/>
    <tableColumn id="60" name="3" dataDxfId="710"/>
    <tableColumn id="61" name="4" dataDxfId="709"/>
    <tableColumn id="62" name="5" dataDxfId="708"/>
    <tableColumn id="63" name="6" dataDxfId="707"/>
    <tableColumn id="65" name="7" dataDxfId="706"/>
    <tableColumn id="66" name="8" dataDxfId="705"/>
    <tableColumn id="68" name="9" dataDxfId="704"/>
    <tableColumn id="70" name="10" dataDxfId="703"/>
    <tableColumn id="45" name="11" dataDxfId="702"/>
    <tableColumn id="46" name="12" dataDxfId="701"/>
    <tableColumn id="49" name="13" dataDxfId="700"/>
    <tableColumn id="50" name="14" dataDxfId="699"/>
    <tableColumn id="51" name="15" dataDxfId="698"/>
    <tableColumn id="54" name="16" dataDxfId="697"/>
    <tableColumn id="40" name="17" dataDxfId="696" dataCellStyle="Normal 2"/>
    <tableColumn id="41" name="18" dataDxfId="695" dataCellStyle="Normal 2"/>
    <tableColumn id="42" name="19" dataDxfId="694" dataCellStyle="Normal 2"/>
    <tableColumn id="43" name="20" dataDxfId="693" dataCellStyle="Normal 2"/>
    <tableColumn id="13" name="21" dataDxfId="692" dataCellStyle="Normal 2"/>
    <tableColumn id="14" name="22" dataDxfId="691" dataCellStyle="Normal 2"/>
    <tableColumn id="15" name="23" dataDxfId="690" dataCellStyle="Normal 2"/>
    <tableColumn id="38" name="24" dataDxfId="689" dataCellStyle="Normal 2"/>
    <tableColumn id="39" name="25" dataDxfId="688" dataCellStyle="Normal 2"/>
    <tableColumn id="16" name="26" dataDxfId="687" dataCellStyle="Normal 2"/>
    <tableColumn id="17" name="27" dataDxfId="686" dataCellStyle="Normal 2"/>
    <tableColumn id="20" name="סה&quot;כ" dataDxfId="685" dataCellStyle="Normal 2">
      <calculatedColumnFormula>SUM(טבלה17[[#This Row],[1]:[27]])</calculatedColumnFormula>
    </tableColumn>
    <tableColumn id="18" name="הזמנה" dataDxfId="684" dataCellStyle="Normal 2">
      <calculatedColumnFormula>SUM(AB11:AL11)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" name="טבלה20" displayName="טבלה20" ref="A46:AN69" totalsRowShown="0" headerRowDxfId="683" dataDxfId="682" headerRowCellStyle="Normal 2">
  <autoFilter ref="A46:AN69"/>
  <tableColumns count="40">
    <tableColumn id="1" name="מחלקה" dataDxfId="681"/>
    <tableColumn id="2" name="מק&quot;ט" dataDxfId="680" dataCellStyle="Normal 2"/>
    <tableColumn id="3" name="מחיר" dataDxfId="679" dataCellStyle="Normal 2">
      <calculatedColumnFormula>SUMIF([2]!טבלה21[מקט],B47,[2]!טבלה21[מחיר ליח''])</calculatedColumnFormula>
    </tableColumn>
    <tableColumn id="4" name="כמות במחיר" dataDxfId="678"/>
    <tableColumn id="5" name="מחיר ליח'" dataDxfId="677" dataCellStyle="Normal 2">
      <calculatedColumnFormula>C47/D47</calculatedColumnFormula>
    </tableColumn>
    <tableColumn id="6" name="% מעם" dataDxfId="676" dataCellStyle="Percent"/>
    <tableColumn id="7" name="מעם" dataDxfId="675" dataCellStyle="Currency">
      <calculatedColumnFormula>E47*F47</calculatedColumnFormula>
    </tableColumn>
    <tableColumn id="8" name="מחיר לקיט כולל" dataDxfId="674">
      <calculatedColumnFormula>(G47+E47)*AG47</calculatedColumnFormula>
    </tableColumn>
    <tableColumn id="9" name="מוצר" dataDxfId="673" dataCellStyle="Normal 2"/>
    <tableColumn id="10" name="מפתח" dataDxfId="672" dataCellStyle="Normal 2"/>
    <tableColumn id="11" name="מפתח2" dataDxfId="671"/>
    <tableColumn id="26" name="1"/>
    <tableColumn id="27" name="2"/>
    <tableColumn id="28" name="3"/>
    <tableColumn id="29" name="4"/>
    <tableColumn id="30" name="5"/>
    <tableColumn id="31" name="6"/>
    <tableColumn id="20" name="7"/>
    <tableColumn id="21" name="8"/>
    <tableColumn id="36" name="9"/>
    <tableColumn id="37" name="10"/>
    <tableColumn id="38" name="11"/>
    <tableColumn id="40" name="12"/>
    <tableColumn id="39" name="13"/>
    <tableColumn id="32" name="14"/>
    <tableColumn id="33" name="15"/>
    <tableColumn id="34" name="16"/>
    <tableColumn id="35" name="17"/>
    <tableColumn id="22" name="18"/>
    <tableColumn id="23" name="19"/>
    <tableColumn id="24" name="20"/>
    <tableColumn id="25" name="21"/>
    <tableColumn id="12" name="22" dataDxfId="670"/>
    <tableColumn id="13" name="23" dataDxfId="669"/>
    <tableColumn id="14" name="24" dataDxfId="668"/>
    <tableColumn id="15" name="25" dataDxfId="667"/>
    <tableColumn id="16" name="26" dataDxfId="666"/>
    <tableColumn id="17" name="27" dataDxfId="665"/>
    <tableColumn id="19" name="סה&quot;כ" dataDxfId="664">
      <calculatedColumnFormula>SUM(טבלה20[[#This Row],[1]:[27]])</calculatedColumnFormula>
    </tableColumn>
    <tableColumn id="18" name="הזמנה" dataDxfId="663" dataCellStyle="Normal 2">
      <calculatedColumnFormula>SUM(AG47:AL47)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3" name="טבלה33" displayName="טבלה33" ref="A6:BH26" totalsRowShown="0" headerRowDxfId="662" dataDxfId="661">
  <autoFilter ref="A6:BH26"/>
  <tableColumns count="60">
    <tableColumn id="1" name="ארוחה" dataDxfId="660" dataCellStyle="Normal 2"/>
    <tableColumn id="2" name="מק&quot;ט" dataDxfId="659" dataCellStyle="Normal 2"/>
    <tableColumn id="3" name="פרודוקטים" dataDxfId="658" dataCellStyle="Normal 2"/>
    <tableColumn id="4" name="מפתח" dataDxfId="657" dataCellStyle="Normal 2"/>
    <tableColumn id="5" name="עמודה2" dataDxfId="656" dataCellStyle="Normal 2"/>
    <tableColumn id="6" name="מפתח2" dataDxfId="655" dataCellStyle="Normal 2"/>
    <tableColumn id="7" name="1" dataDxfId="654" dataCellStyle="Normal 2">
      <calculatedColumnFormula>ROUNDUP($F7*G$2,0)</calculatedColumnFormula>
    </tableColumn>
    <tableColumn id="8" name="2" dataDxfId="653" dataCellStyle="Normal 2"/>
    <tableColumn id="9" name="3" dataDxfId="652" dataCellStyle="Normal 2"/>
    <tableColumn id="10" name="4" dataDxfId="651" dataCellStyle="Normal 2"/>
    <tableColumn id="11" name="5" dataDxfId="650" dataCellStyle="Normal 2"/>
    <tableColumn id="12" name="6" dataDxfId="649" dataCellStyle="Normal 2"/>
    <tableColumn id="13" name="7" dataDxfId="648" dataCellStyle="Normal 2"/>
    <tableColumn id="14" name="8" dataDxfId="647" dataCellStyle="Normal 2"/>
    <tableColumn id="15" name="9" dataDxfId="646" dataCellStyle="Normal 2"/>
    <tableColumn id="16" name="10" dataDxfId="645" dataCellStyle="Normal 2"/>
    <tableColumn id="17" name="11" dataDxfId="644" dataCellStyle="Normal 2"/>
    <tableColumn id="18" name="12" dataDxfId="643" dataCellStyle="Normal 2"/>
    <tableColumn id="19" name="13" dataDxfId="642" dataCellStyle="Normal 2"/>
    <tableColumn id="20" name="14" dataDxfId="641" dataCellStyle="Normal 2"/>
    <tableColumn id="21" name="15" dataDxfId="640" dataCellStyle="Normal 2"/>
    <tableColumn id="22" name="16" dataDxfId="639" dataCellStyle="Normal 2"/>
    <tableColumn id="23" name="17" dataDxfId="638" dataCellStyle="Normal 2"/>
    <tableColumn id="24" name="18" dataDxfId="637" dataCellStyle="Normal 2"/>
    <tableColumn id="25" name="19" dataDxfId="636" dataCellStyle="Normal 2"/>
    <tableColumn id="26" name="20" dataDxfId="635" dataCellStyle="Normal 2"/>
    <tableColumn id="27" name="21" dataDxfId="634" dataCellStyle="Normal 2"/>
    <tableColumn id="28" name="22" dataDxfId="633" dataCellStyle="Normal 2"/>
    <tableColumn id="29" name="23" dataDxfId="632" dataCellStyle="Normal 2"/>
    <tableColumn id="30" name="24" dataDxfId="631" dataCellStyle="Normal 2"/>
    <tableColumn id="31" name="25" dataDxfId="630" dataCellStyle="Normal 2"/>
    <tableColumn id="32" name="26" dataDxfId="629" dataCellStyle="Normal 2"/>
    <tableColumn id="33" name="27" dataDxfId="628" dataCellStyle="Normal 2"/>
    <tableColumn id="34" name="28" dataDxfId="627" dataCellStyle="Normal 2"/>
    <tableColumn id="35" name="29" dataDxfId="626" dataCellStyle="Normal 2"/>
    <tableColumn id="36" name="30" dataDxfId="625" dataCellStyle="Normal 2"/>
    <tableColumn id="37" name="31" dataDxfId="624" dataCellStyle="Normal 2"/>
    <tableColumn id="38" name="32" dataDxfId="623" dataCellStyle="Normal 2"/>
    <tableColumn id="39" name="33" dataDxfId="622" dataCellStyle="Normal 2"/>
    <tableColumn id="40" name="34" dataDxfId="621" dataCellStyle="Normal 2"/>
    <tableColumn id="41" name="35" dataDxfId="620" dataCellStyle="Normal 2"/>
    <tableColumn id="42" name="36" dataDxfId="619" dataCellStyle="Normal 2"/>
    <tableColumn id="43" name="37" dataDxfId="618" dataCellStyle="Normal 2"/>
    <tableColumn id="44" name="38" dataDxfId="617" dataCellStyle="Normal 2"/>
    <tableColumn id="45" name="39" dataDxfId="616" dataCellStyle="Normal 2"/>
    <tableColumn id="46" name="40" dataDxfId="615" dataCellStyle="Normal 2"/>
    <tableColumn id="47" name="41" dataDxfId="614" dataCellStyle="Normal 2"/>
    <tableColumn id="48" name="42" dataDxfId="613" dataCellStyle="Normal 2"/>
    <tableColumn id="49" name="43" dataDxfId="612" dataCellStyle="Normal 2"/>
    <tableColumn id="50" name="44" dataDxfId="611" dataCellStyle="Normal 2"/>
    <tableColumn id="51" name="45" dataDxfId="610" dataCellStyle="Normal 2"/>
    <tableColumn id="52" name="46" dataDxfId="609" dataCellStyle="Normal 2"/>
    <tableColumn id="53" name="47" dataDxfId="608" dataCellStyle="Normal 2"/>
    <tableColumn id="54" name="48" dataDxfId="607" dataCellStyle="Normal 2"/>
    <tableColumn id="55" name="49" dataDxfId="606" dataCellStyle="Normal 2"/>
    <tableColumn id="56" name="50" dataDxfId="605" dataCellStyle="Normal 2"/>
    <tableColumn id="57" name="סה&quot;כ" dataDxfId="604">
      <calculatedColumnFormula>SUM(טבלה33[[#This Row],[1]:[50]])</calculatedColumnFormula>
    </tableColumn>
    <tableColumn id="58" name="הזמנה" dataDxfId="603"/>
    <tableColumn id="59" name="עמודה56" dataDxfId="602" dataCellStyle="Normal 2">
      <calculatedColumnFormula>טבלה33[[#This Row],[פרודוקטים]]</calculatedColumnFormula>
    </tableColumn>
    <tableColumn id="60" name="תוספת" dataDxfId="601" dataCellStyle="Percent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4" name="טבלה34" displayName="טבלה34" ref="A28:BH48" totalsRowShown="0" headerRowDxfId="600" dataDxfId="599">
  <autoFilter ref="A28:BH48"/>
  <tableColumns count="60">
    <tableColumn id="1" name="ארוחה" dataDxfId="598" dataCellStyle="Normal 2"/>
    <tableColumn id="2" name="עמודה1" dataDxfId="597" dataCellStyle="Normal 2"/>
    <tableColumn id="3" name="פרודוקטים" dataDxfId="596" dataCellStyle="Normal 2"/>
    <tableColumn id="4" name="מפתח" dataDxfId="595" dataCellStyle="Normal 2"/>
    <tableColumn id="5" name="עמודה2" dataDxfId="594" dataCellStyle="Normal 2"/>
    <tableColumn id="6" name="מפתח2" dataDxfId="593" dataCellStyle="Normal 2"/>
    <tableColumn id="7" name="1" dataDxfId="592" dataCellStyle="Normal 2">
      <calculatedColumnFormula>ROUNDUP($F29*G$2,0)</calculatedColumnFormula>
    </tableColumn>
    <tableColumn id="8" name="2" dataDxfId="591" dataCellStyle="Normal 2"/>
    <tableColumn id="9" name="3" dataDxfId="590" dataCellStyle="Normal 2"/>
    <tableColumn id="10" name="4" dataDxfId="589" dataCellStyle="Normal 2"/>
    <tableColumn id="11" name="5" dataDxfId="588" dataCellStyle="Normal 2"/>
    <tableColumn id="12" name="6" dataDxfId="587" dataCellStyle="Normal 2"/>
    <tableColumn id="13" name="7" dataDxfId="586" dataCellStyle="Normal 2"/>
    <tableColumn id="14" name="8" dataDxfId="585" dataCellStyle="Normal 2"/>
    <tableColumn id="15" name="9" dataDxfId="584" dataCellStyle="Normal 2"/>
    <tableColumn id="16" name="10" dataDxfId="583" dataCellStyle="Normal 2"/>
    <tableColumn id="17" name="11" dataDxfId="582" dataCellStyle="Normal 2"/>
    <tableColumn id="18" name="12" dataDxfId="581" dataCellStyle="Normal 2"/>
    <tableColumn id="19" name="13" dataDxfId="580" dataCellStyle="Normal 2"/>
    <tableColumn id="20" name="14" dataDxfId="579" dataCellStyle="Normal 2"/>
    <tableColumn id="21" name="15" dataDxfId="578" dataCellStyle="Normal 2"/>
    <tableColumn id="22" name="16" dataDxfId="577" dataCellStyle="Normal 2"/>
    <tableColumn id="23" name="17" dataDxfId="576" dataCellStyle="Normal 2"/>
    <tableColumn id="24" name="18" dataDxfId="575" dataCellStyle="Normal 2"/>
    <tableColumn id="25" name="19" dataDxfId="574" dataCellStyle="Normal 2"/>
    <tableColumn id="26" name="20" dataDxfId="573" dataCellStyle="Normal 2"/>
    <tableColumn id="27" name="21" dataDxfId="572" dataCellStyle="Normal 2"/>
    <tableColumn id="28" name="22" dataDxfId="571" dataCellStyle="Normal 2"/>
    <tableColumn id="29" name="23" dataDxfId="570" dataCellStyle="Normal 2"/>
    <tableColumn id="30" name="24" dataDxfId="569" dataCellStyle="Normal 2"/>
    <tableColumn id="31" name="25" dataDxfId="568" dataCellStyle="Normal 2"/>
    <tableColumn id="32" name="26" dataDxfId="567" dataCellStyle="Normal 2"/>
    <tableColumn id="33" name="27" dataDxfId="566" dataCellStyle="Normal 2"/>
    <tableColumn id="34" name="28" dataDxfId="565" dataCellStyle="Normal 2"/>
    <tableColumn id="35" name="29" dataDxfId="564" dataCellStyle="Normal 2"/>
    <tableColumn id="36" name="30" dataDxfId="563" dataCellStyle="Normal 2"/>
    <tableColumn id="37" name="31" dataDxfId="562" dataCellStyle="Normal 2"/>
    <tableColumn id="38" name="32" dataDxfId="561" dataCellStyle="Normal 2"/>
    <tableColumn id="39" name="33" dataDxfId="560" dataCellStyle="Normal 2"/>
    <tableColumn id="40" name="34" dataDxfId="559" dataCellStyle="Normal 2"/>
    <tableColumn id="41" name="35" dataDxfId="558" dataCellStyle="Normal 2"/>
    <tableColumn id="42" name="36" dataDxfId="557" dataCellStyle="Normal 2"/>
    <tableColumn id="43" name="37" dataDxfId="556" dataCellStyle="Normal 2"/>
    <tableColumn id="44" name="38" dataDxfId="555" dataCellStyle="Normal 2"/>
    <tableColumn id="45" name="39" dataDxfId="554" dataCellStyle="Normal 2"/>
    <tableColumn id="46" name="40" dataDxfId="553" dataCellStyle="Normal 2"/>
    <tableColumn id="47" name="41" dataDxfId="552" dataCellStyle="Normal 2"/>
    <tableColumn id="48" name="42" dataDxfId="551" dataCellStyle="Normal 2"/>
    <tableColumn id="49" name="43" dataDxfId="550" dataCellStyle="Normal 2"/>
    <tableColumn id="50" name="44" dataDxfId="549" dataCellStyle="Normal 2"/>
    <tableColumn id="51" name="45" dataDxfId="548" dataCellStyle="Normal 2"/>
    <tableColumn id="52" name="46" dataDxfId="547" dataCellStyle="Normal 2"/>
    <tableColumn id="53" name="47" dataDxfId="546" dataCellStyle="Normal 2"/>
    <tableColumn id="54" name="48" dataDxfId="545" dataCellStyle="Normal 2"/>
    <tableColumn id="55" name="49" dataDxfId="544" dataCellStyle="Normal 2"/>
    <tableColumn id="56" name="50" dataDxfId="543" dataCellStyle="Normal 2"/>
    <tableColumn id="57" name="סה&quot;כ" dataDxfId="542">
      <calculatedColumnFormula>SUM(טבלה34[[#This Row],[1]:[50]])</calculatedColumnFormula>
    </tableColumn>
    <tableColumn id="58" name="הזמנה" dataDxfId="541"/>
    <tableColumn id="59" name="מוצר" dataDxfId="540" dataCellStyle="Normal 2">
      <calculatedColumnFormula>טבלה34[[#This Row],[פרודוקטים]]</calculatedColumnFormula>
    </tableColumn>
    <tableColumn id="60" name="תוספת" dataDxfId="5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5" name="טבלה35" displayName="טבלה35" ref="A50:BH72" totalsRowShown="0" headerRowDxfId="538" dataDxfId="537">
  <autoFilter ref="A50:BH72"/>
  <tableColumns count="60">
    <tableColumn id="1" name="ארוחה" dataDxfId="536" dataCellStyle="Normal 2"/>
    <tableColumn id="2" name="עמודה1" dataDxfId="535" dataCellStyle="Normal 2"/>
    <tableColumn id="3" name="פרודוקטים" dataDxfId="534" dataCellStyle="Normal 2"/>
    <tableColumn id="4" name="מפתח" dataDxfId="533" dataCellStyle="Normal 2"/>
    <tableColumn id="5" name="עמודה2" dataDxfId="532" dataCellStyle="Normal 2"/>
    <tableColumn id="6" name="עמודה3" dataDxfId="531" dataCellStyle="Normal 2"/>
    <tableColumn id="7" name="1" dataDxfId="530" dataCellStyle="Normal 2">
      <calculatedColumnFormula>ROUNDUP($F51*G$2,0)</calculatedColumnFormula>
    </tableColumn>
    <tableColumn id="8" name="2" dataDxfId="529" dataCellStyle="Normal 2"/>
    <tableColumn id="9" name="3" dataDxfId="528" dataCellStyle="Normal 2"/>
    <tableColumn id="10" name="4" dataDxfId="527" dataCellStyle="Normal 2"/>
    <tableColumn id="11" name="5" dataDxfId="526" dataCellStyle="Normal 2"/>
    <tableColumn id="12" name="6" dataDxfId="525" dataCellStyle="Normal 2"/>
    <tableColumn id="13" name="7" dataDxfId="524" dataCellStyle="Normal 2"/>
    <tableColumn id="14" name="8" dataDxfId="523" dataCellStyle="Normal 2"/>
    <tableColumn id="15" name="9" dataDxfId="522" dataCellStyle="Normal 2"/>
    <tableColumn id="16" name="10" dataDxfId="521" dataCellStyle="Normal 2"/>
    <tableColumn id="17" name="11" dataDxfId="520" dataCellStyle="Normal 2"/>
    <tableColumn id="18" name="12" dataDxfId="519" dataCellStyle="Normal 2"/>
    <tableColumn id="19" name="13" dataDxfId="518" dataCellStyle="Normal 2"/>
    <tableColumn id="20" name="14" dataDxfId="517" dataCellStyle="Normal 2"/>
    <tableColumn id="21" name="15" dataDxfId="516" dataCellStyle="Normal 2"/>
    <tableColumn id="22" name="16" dataDxfId="515" dataCellStyle="Normal 2"/>
    <tableColumn id="23" name="17" dataDxfId="514" dataCellStyle="Normal 2"/>
    <tableColumn id="24" name="18" dataDxfId="513" dataCellStyle="Normal 2"/>
    <tableColumn id="25" name="19" dataDxfId="512" dataCellStyle="Normal 2"/>
    <tableColumn id="26" name="20" dataDxfId="511" dataCellStyle="Normal 2"/>
    <tableColumn id="27" name="21" dataDxfId="510" dataCellStyle="Normal 2"/>
    <tableColumn id="28" name="22" dataDxfId="509" dataCellStyle="Normal 2"/>
    <tableColumn id="29" name="23" dataDxfId="508" dataCellStyle="Normal 2"/>
    <tableColumn id="30" name="24" dataDxfId="507" dataCellStyle="Normal 2"/>
    <tableColumn id="31" name="25" dataDxfId="506" dataCellStyle="Normal 2"/>
    <tableColumn id="32" name="26" dataDxfId="505" dataCellStyle="Normal 2"/>
    <tableColumn id="33" name="27" dataDxfId="504" dataCellStyle="Normal 2"/>
    <tableColumn id="34" name="28" dataDxfId="503" dataCellStyle="Normal 2"/>
    <tableColumn id="35" name="29" dataDxfId="502" dataCellStyle="Normal 2"/>
    <tableColumn id="36" name="30" dataDxfId="501" dataCellStyle="Normal 2"/>
    <tableColumn id="37" name="31" dataDxfId="500" dataCellStyle="Normal 2"/>
    <tableColumn id="38" name="32" dataDxfId="499" dataCellStyle="Normal 2"/>
    <tableColumn id="39" name="33" dataDxfId="498" dataCellStyle="Normal 2"/>
    <tableColumn id="40" name="34" dataDxfId="497" dataCellStyle="Normal 2"/>
    <tableColumn id="41" name="35" dataDxfId="496" dataCellStyle="Normal 2"/>
    <tableColumn id="42" name="36" dataDxfId="495" dataCellStyle="Normal 2"/>
    <tableColumn id="43" name="37" dataDxfId="494" dataCellStyle="Normal 2"/>
    <tableColumn id="44" name="38" dataDxfId="493" dataCellStyle="Normal 2"/>
    <tableColumn id="45" name="39" dataDxfId="492" dataCellStyle="Normal 2"/>
    <tableColumn id="46" name="40" dataDxfId="491" dataCellStyle="Normal 2"/>
    <tableColumn id="47" name="41" dataDxfId="490" dataCellStyle="Normal 2"/>
    <tableColumn id="48" name="42" dataDxfId="489" dataCellStyle="Normal 2"/>
    <tableColumn id="49" name="43" dataDxfId="488" dataCellStyle="Normal 2"/>
    <tableColumn id="50" name="44" dataDxfId="487" dataCellStyle="Normal 2"/>
    <tableColumn id="51" name="45" dataDxfId="486" dataCellStyle="Normal 2"/>
    <tableColumn id="52" name="46" dataDxfId="485" dataCellStyle="Normal 2"/>
    <tableColumn id="53" name="47" dataDxfId="484" dataCellStyle="Normal 2"/>
    <tableColumn id="54" name="48" dataDxfId="483" dataCellStyle="Normal 2"/>
    <tableColumn id="55" name="49" dataDxfId="482" dataCellStyle="Normal 2"/>
    <tableColumn id="56" name="50" dataDxfId="481" dataCellStyle="Normal 2"/>
    <tableColumn id="57" name="סה&quot;כ" dataDxfId="480">
      <calculatedColumnFormula>SUM(טבלה35[[#This Row],[1]:[50]])</calculatedColumnFormula>
    </tableColumn>
    <tableColumn id="58" name="הזמנה" dataDxfId="479"/>
    <tableColumn id="59" name="מוצר" dataDxfId="478" dataCellStyle="Normal 2">
      <calculatedColumnFormula>טבלה35[[#This Row],[פרודוקטים]]</calculatedColumnFormula>
    </tableColumn>
    <tableColumn id="60" name="תוספת" dataDxfId="47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6" name="טבלה11517" displayName="טבלה11517" ref="K3:N8" totalsRowShown="0" headerRowDxfId="1149" dataDxfId="1148">
  <autoFilter ref="K3:N8"/>
  <tableColumns count="4">
    <tableColumn id="4" name="מקט" dataDxfId="1147"/>
    <tableColumn id="1" name="מוצר" dataDxfId="1146"/>
    <tableColumn id="2" name="גודל אריזה " dataDxfId="1145"/>
    <tableColumn id="5" name="כמות" dataDxfId="1144">
      <calculatedColumnFormula>SUMIF($E$4:$E$11,טבלה11517[[#This Row],[מוצר]],$H$4:$H$11)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7" name="טבלה3338" displayName="טבלה3338" ref="A6:BH26" totalsRowShown="0" headerRowDxfId="476" dataDxfId="475">
  <autoFilter ref="A6:BH26"/>
  <tableColumns count="60">
    <tableColumn id="1" name="ארוחה" dataDxfId="474" dataCellStyle="Normal 2"/>
    <tableColumn id="2" name="מק&quot;ט" dataDxfId="473" dataCellStyle="Normal 2"/>
    <tableColumn id="3" name="פרודוקטים" dataDxfId="472" dataCellStyle="Normal 2"/>
    <tableColumn id="4" name="מפתח" dataDxfId="471" dataCellStyle="Normal 2"/>
    <tableColumn id="5" name="עמודה2" dataDxfId="470" dataCellStyle="Normal 2"/>
    <tableColumn id="6" name="מפתח2" dataDxfId="469" dataCellStyle="Normal 2"/>
    <tableColumn id="7" name="1" dataDxfId="468" dataCellStyle="Normal 2">
      <calculatedColumnFormula>ROUNDUP($F7*G$2,0)</calculatedColumnFormula>
    </tableColumn>
    <tableColumn id="8" name="2" dataDxfId="467" dataCellStyle="Normal 2"/>
    <tableColumn id="9" name="3" dataDxfId="466" dataCellStyle="Normal 2"/>
    <tableColumn id="10" name="4" dataDxfId="465" dataCellStyle="Normal 2"/>
    <tableColumn id="11" name="5" dataDxfId="464" dataCellStyle="Normal 2"/>
    <tableColumn id="12" name="6" dataDxfId="463" dataCellStyle="Normal 2"/>
    <tableColumn id="13" name="7" dataDxfId="462" dataCellStyle="Normal 2"/>
    <tableColumn id="14" name="8" dataDxfId="461" dataCellStyle="Normal 2"/>
    <tableColumn id="15" name="9" dataDxfId="460" dataCellStyle="Normal 2"/>
    <tableColumn id="16" name="10" dataDxfId="459" dataCellStyle="Normal 2"/>
    <tableColumn id="17" name="11" dataDxfId="458" dataCellStyle="Normal 2"/>
    <tableColumn id="18" name="12" dataDxfId="457" dataCellStyle="Normal 2"/>
    <tableColumn id="19" name="13" dataDxfId="456" dataCellStyle="Normal 2"/>
    <tableColumn id="20" name="14" dataDxfId="455" dataCellStyle="Normal 2"/>
    <tableColumn id="21" name="15" dataDxfId="454" dataCellStyle="Normal 2"/>
    <tableColumn id="22" name="16" dataDxfId="453" dataCellStyle="Normal 2"/>
    <tableColumn id="23" name="17" dataDxfId="452" dataCellStyle="Normal 2"/>
    <tableColumn id="24" name="18" dataDxfId="451" dataCellStyle="Normal 2"/>
    <tableColumn id="25" name="19" dataDxfId="450" dataCellStyle="Normal 2"/>
    <tableColumn id="26" name="20" dataDxfId="449" dataCellStyle="Normal 2"/>
    <tableColumn id="27" name="21" dataDxfId="448" dataCellStyle="Normal 2"/>
    <tableColumn id="28" name="22" dataDxfId="447" dataCellStyle="Normal 2"/>
    <tableColumn id="29" name="23" dataDxfId="446" dataCellStyle="Normal 2"/>
    <tableColumn id="30" name="24" dataDxfId="445" dataCellStyle="Normal 2"/>
    <tableColumn id="31" name="25" dataDxfId="444" dataCellStyle="Normal 2"/>
    <tableColumn id="32" name="26" dataDxfId="443" dataCellStyle="Normal 2"/>
    <tableColumn id="33" name="27" dataDxfId="442" dataCellStyle="Normal 2"/>
    <tableColumn id="34" name="28" dataDxfId="441" dataCellStyle="Normal 2"/>
    <tableColumn id="35" name="29" dataDxfId="440" dataCellStyle="Normal 2"/>
    <tableColumn id="36" name="30" dataDxfId="439" dataCellStyle="Normal 2"/>
    <tableColumn id="37" name="31" dataDxfId="438" dataCellStyle="Normal 2"/>
    <tableColumn id="38" name="32" dataDxfId="437" dataCellStyle="Normal 2"/>
    <tableColumn id="39" name="33" dataDxfId="436" dataCellStyle="Normal 2"/>
    <tableColumn id="40" name="34" dataDxfId="435" dataCellStyle="Normal 2"/>
    <tableColumn id="41" name="35" dataDxfId="434" dataCellStyle="Normal 2"/>
    <tableColumn id="42" name="36" dataDxfId="433" dataCellStyle="Normal 2"/>
    <tableColumn id="43" name="37" dataDxfId="432" dataCellStyle="Normal 2"/>
    <tableColumn id="44" name="38" dataDxfId="431" dataCellStyle="Normal 2"/>
    <tableColumn id="45" name="39" dataDxfId="430" dataCellStyle="Normal 2"/>
    <tableColumn id="46" name="40" dataDxfId="429" dataCellStyle="Normal 2"/>
    <tableColumn id="47" name="41" dataDxfId="428" dataCellStyle="Normal 2"/>
    <tableColumn id="48" name="42" dataDxfId="427" dataCellStyle="Normal 2"/>
    <tableColumn id="49" name="43" dataDxfId="426" dataCellStyle="Normal 2"/>
    <tableColumn id="50" name="44" dataDxfId="425" dataCellStyle="Normal 2"/>
    <tableColumn id="51" name="45" dataDxfId="424" dataCellStyle="Normal 2"/>
    <tableColumn id="52" name="46" dataDxfId="423" dataCellStyle="Normal 2"/>
    <tableColumn id="53" name="47" dataDxfId="422" dataCellStyle="Normal 2"/>
    <tableColumn id="54" name="48" dataDxfId="421" dataCellStyle="Normal 2"/>
    <tableColumn id="55" name="49" dataDxfId="420" dataCellStyle="Normal 2"/>
    <tableColumn id="56" name="50" dataDxfId="419" dataCellStyle="Normal 2"/>
    <tableColumn id="57" name="סה&quot;כ" dataDxfId="418">
      <calculatedColumnFormula>SUM(טבלה3338[[#This Row],[1]:[50]])</calculatedColumnFormula>
    </tableColumn>
    <tableColumn id="58" name="הזמנה" dataDxfId="417"/>
    <tableColumn id="59" name="עמודה56" dataDxfId="416" dataCellStyle="Normal 2">
      <calculatedColumnFormula>טבלה3338[[#This Row],[פרודוקטים]]</calculatedColumnFormula>
    </tableColumn>
    <tableColumn id="60" name="תוספת" dataDxfId="415" dataCellStyle="Percent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9" name="טבלה3540" displayName="טבלה3540" ref="A29:BH51" totalsRowShown="0" headerRowDxfId="414" dataDxfId="413">
  <autoFilter ref="A29:BH51"/>
  <tableColumns count="60">
    <tableColumn id="1" name="ארוחה" dataDxfId="412" dataCellStyle="Normal 2"/>
    <tableColumn id="2" name="עמודה1" dataDxfId="411" dataCellStyle="Normal 2"/>
    <tableColumn id="3" name="פרודוקטים" dataDxfId="410" dataCellStyle="Normal 2"/>
    <tableColumn id="4" name="מפתח" dataDxfId="409" dataCellStyle="Normal 2"/>
    <tableColumn id="5" name="עמודה2" dataDxfId="408" dataCellStyle="Normal 2"/>
    <tableColumn id="6" name="עמודה3" dataDxfId="407" dataCellStyle="Normal 2"/>
    <tableColumn id="7" name="1" dataDxfId="406" dataCellStyle="Normal 2">
      <calculatedColumnFormula>ROUNDUP($F30*G$2,0)</calculatedColumnFormula>
    </tableColumn>
    <tableColumn id="8" name="2" dataDxfId="405" dataCellStyle="Normal 2"/>
    <tableColumn id="9" name="3" dataDxfId="404" dataCellStyle="Normal 2"/>
    <tableColumn id="10" name="4" dataDxfId="403" dataCellStyle="Normal 2"/>
    <tableColumn id="11" name="5" dataDxfId="402" dataCellStyle="Normal 2"/>
    <tableColumn id="12" name="6" dataDxfId="401" dataCellStyle="Normal 2"/>
    <tableColumn id="13" name="7" dataDxfId="400" dataCellStyle="Normal 2"/>
    <tableColumn id="14" name="8" dataDxfId="399" dataCellStyle="Normal 2"/>
    <tableColumn id="15" name="9" dataDxfId="398" dataCellStyle="Normal 2"/>
    <tableColumn id="16" name="10" dataDxfId="397" dataCellStyle="Normal 2"/>
    <tableColumn id="17" name="11" dataDxfId="396" dataCellStyle="Normal 2"/>
    <tableColumn id="18" name="12" dataDxfId="395" dataCellStyle="Normal 2"/>
    <tableColumn id="19" name="13" dataDxfId="394" dataCellStyle="Normal 2"/>
    <tableColumn id="20" name="14" dataDxfId="393" dataCellStyle="Normal 2"/>
    <tableColumn id="21" name="15" dataDxfId="392" dataCellStyle="Normal 2"/>
    <tableColumn id="22" name="16" dataDxfId="391" dataCellStyle="Normal 2"/>
    <tableColumn id="23" name="17" dataDxfId="390" dataCellStyle="Normal 2"/>
    <tableColumn id="24" name="18" dataDxfId="389" dataCellStyle="Normal 2"/>
    <tableColumn id="25" name="19" dataDxfId="388" dataCellStyle="Normal 2"/>
    <tableColumn id="26" name="20" dataDxfId="387" dataCellStyle="Normal 2"/>
    <tableColumn id="27" name="21" dataDxfId="386" dataCellStyle="Normal 2"/>
    <tableColumn id="28" name="22" dataDxfId="385" dataCellStyle="Normal 2"/>
    <tableColumn id="29" name="23" dataDxfId="384" dataCellStyle="Normal 2"/>
    <tableColumn id="30" name="24" dataDxfId="383" dataCellStyle="Normal 2"/>
    <tableColumn id="31" name="25" dataDxfId="382" dataCellStyle="Normal 2"/>
    <tableColumn id="32" name="26" dataDxfId="381" dataCellStyle="Normal 2"/>
    <tableColumn id="33" name="27" dataDxfId="380" dataCellStyle="Normal 2"/>
    <tableColumn id="34" name="28" dataDxfId="379" dataCellStyle="Normal 2"/>
    <tableColumn id="35" name="29" dataDxfId="378" dataCellStyle="Normal 2"/>
    <tableColumn id="36" name="30" dataDxfId="377" dataCellStyle="Normal 2"/>
    <tableColumn id="37" name="31" dataDxfId="376" dataCellStyle="Normal 2"/>
    <tableColumn id="38" name="32" dataDxfId="375" dataCellStyle="Normal 2"/>
    <tableColumn id="39" name="33" dataDxfId="374" dataCellStyle="Normal 2"/>
    <tableColumn id="40" name="34" dataDxfId="373" dataCellStyle="Normal 2"/>
    <tableColumn id="41" name="35" dataDxfId="372" dataCellStyle="Normal 2"/>
    <tableColumn id="42" name="36" dataDxfId="371" dataCellStyle="Normal 2"/>
    <tableColumn id="43" name="37" dataDxfId="370" dataCellStyle="Normal 2"/>
    <tableColumn id="44" name="38" dataDxfId="369" dataCellStyle="Normal 2"/>
    <tableColumn id="45" name="39" dataDxfId="368" dataCellStyle="Normal 2"/>
    <tableColumn id="46" name="40" dataDxfId="367" dataCellStyle="Normal 2"/>
    <tableColumn id="47" name="41" dataDxfId="366" dataCellStyle="Normal 2"/>
    <tableColumn id="48" name="42" dataDxfId="365" dataCellStyle="Normal 2"/>
    <tableColumn id="49" name="43" dataDxfId="364" dataCellStyle="Normal 2"/>
    <tableColumn id="50" name="44" dataDxfId="363" dataCellStyle="Normal 2"/>
    <tableColumn id="51" name="45" dataDxfId="362" dataCellStyle="Normal 2"/>
    <tableColumn id="52" name="46" dataDxfId="361" dataCellStyle="Normal 2"/>
    <tableColumn id="53" name="47" dataDxfId="360" dataCellStyle="Normal 2"/>
    <tableColumn id="54" name="48" dataDxfId="359" dataCellStyle="Normal 2"/>
    <tableColumn id="55" name="49" dataDxfId="358" dataCellStyle="Normal 2"/>
    <tableColumn id="56" name="50" dataDxfId="357" dataCellStyle="Normal 2"/>
    <tableColumn id="57" name="סה&quot;כ" dataDxfId="356">
      <calculatedColumnFormula>SUM(טבלה3540[[#This Row],[1]:[50]])</calculatedColumnFormula>
    </tableColumn>
    <tableColumn id="58" name="הזמנה" dataDxfId="355"/>
    <tableColumn id="59" name="מוצר" dataDxfId="354" dataCellStyle="Normal 2">
      <calculatedColumnFormula>טבלה3540[[#This Row],[פרודוקטים]]</calculatedColumnFormula>
    </tableColumn>
    <tableColumn id="60" name="תוספת" dataDxfId="35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40" name="טבלה3441" displayName="טבלה3441" ref="A54:BH74" totalsRowShown="0" headerRowDxfId="352" dataDxfId="351">
  <autoFilter ref="A54:BH74"/>
  <tableColumns count="60">
    <tableColumn id="1" name="ארוחה" dataDxfId="350" dataCellStyle="Normal 2"/>
    <tableColumn id="2" name="עמודה1" dataDxfId="349" dataCellStyle="Normal 2"/>
    <tableColumn id="3" name="פרודוקטים" dataDxfId="348" dataCellStyle="Normal 2"/>
    <tableColumn id="4" name="מפתח" dataDxfId="347" dataCellStyle="Normal 2"/>
    <tableColumn id="5" name="עמודה2" dataDxfId="346" dataCellStyle="Normal 2"/>
    <tableColumn id="6" name="מפתח2" dataDxfId="345" dataCellStyle="Normal 2"/>
    <tableColumn id="7" name="1" dataDxfId="344" dataCellStyle="Normal 2">
      <calculatedColumnFormula>ROUNDUP($F55*G$2,0)</calculatedColumnFormula>
    </tableColumn>
    <tableColumn id="8" name="2" dataDxfId="343" dataCellStyle="Normal 2"/>
    <tableColumn id="9" name="3" dataDxfId="342" dataCellStyle="Normal 2"/>
    <tableColumn id="10" name="4" dataDxfId="341" dataCellStyle="Normal 2"/>
    <tableColumn id="11" name="5" dataDxfId="340" dataCellStyle="Normal 2"/>
    <tableColumn id="12" name="6" dataDxfId="339" dataCellStyle="Normal 2"/>
    <tableColumn id="13" name="7" dataDxfId="338" dataCellStyle="Normal 2"/>
    <tableColumn id="14" name="8" dataDxfId="337" dataCellStyle="Normal 2"/>
    <tableColumn id="15" name="9" dataDxfId="336" dataCellStyle="Normal 2"/>
    <tableColumn id="16" name="10" dataDxfId="335" dataCellStyle="Normal 2"/>
    <tableColumn id="17" name="11" dataDxfId="334" dataCellStyle="Normal 2"/>
    <tableColumn id="18" name="12" dataDxfId="333" dataCellStyle="Normal 2"/>
    <tableColumn id="19" name="13" dataDxfId="332" dataCellStyle="Normal 2"/>
    <tableColumn id="20" name="14" dataDxfId="331" dataCellStyle="Normal 2"/>
    <tableColumn id="21" name="15" dataDxfId="330" dataCellStyle="Normal 2"/>
    <tableColumn id="22" name="16" dataDxfId="329" dataCellStyle="Normal 2"/>
    <tableColumn id="23" name="17" dataDxfId="328" dataCellStyle="Normal 2"/>
    <tableColumn id="24" name="18" dataDxfId="327" dataCellStyle="Normal 2"/>
    <tableColumn id="25" name="19" dataDxfId="326" dataCellStyle="Normal 2"/>
    <tableColumn id="26" name="20" dataDxfId="325" dataCellStyle="Normal 2"/>
    <tableColumn id="27" name="21" dataDxfId="324" dataCellStyle="Normal 2"/>
    <tableColumn id="28" name="22" dataDxfId="323" dataCellStyle="Normal 2"/>
    <tableColumn id="29" name="23" dataDxfId="322" dataCellStyle="Normal 2"/>
    <tableColumn id="30" name="24" dataDxfId="321" dataCellStyle="Normal 2"/>
    <tableColumn id="31" name="25" dataDxfId="320" dataCellStyle="Normal 2"/>
    <tableColumn id="32" name="26" dataDxfId="319" dataCellStyle="Normal 2"/>
    <tableColumn id="33" name="27" dataDxfId="318" dataCellStyle="Normal 2"/>
    <tableColumn id="34" name="28" dataDxfId="317" dataCellStyle="Normal 2"/>
    <tableColumn id="35" name="29" dataDxfId="316" dataCellStyle="Normal 2"/>
    <tableColumn id="36" name="30" dataDxfId="315" dataCellStyle="Normal 2"/>
    <tableColumn id="37" name="31" dataDxfId="314" dataCellStyle="Normal 2"/>
    <tableColumn id="38" name="32" dataDxfId="313" dataCellStyle="Normal 2"/>
    <tableColumn id="39" name="33" dataDxfId="312" dataCellStyle="Normal 2"/>
    <tableColumn id="40" name="34" dataDxfId="311" dataCellStyle="Normal 2"/>
    <tableColumn id="41" name="35" dataDxfId="310" dataCellStyle="Normal 2"/>
    <tableColumn id="42" name="36" dataDxfId="309" dataCellStyle="Normal 2"/>
    <tableColumn id="43" name="37" dataDxfId="308" dataCellStyle="Normal 2"/>
    <tableColumn id="44" name="38" dataDxfId="307" dataCellStyle="Normal 2"/>
    <tableColumn id="45" name="39" dataDxfId="306" dataCellStyle="Normal 2"/>
    <tableColumn id="46" name="40" dataDxfId="305" dataCellStyle="Normal 2"/>
    <tableColumn id="47" name="41" dataDxfId="304" dataCellStyle="Normal 2"/>
    <tableColumn id="48" name="42" dataDxfId="303" dataCellStyle="Normal 2"/>
    <tableColumn id="49" name="43" dataDxfId="302" dataCellStyle="Normal 2"/>
    <tableColumn id="50" name="44" dataDxfId="301" dataCellStyle="Normal 2"/>
    <tableColumn id="51" name="45" dataDxfId="300" dataCellStyle="Normal 2"/>
    <tableColumn id="52" name="46" dataDxfId="299" dataCellStyle="Normal 2"/>
    <tableColumn id="53" name="47" dataDxfId="298" dataCellStyle="Normal 2"/>
    <tableColumn id="54" name="48" dataDxfId="297" dataCellStyle="Normal 2"/>
    <tableColumn id="55" name="49" dataDxfId="296" dataCellStyle="Normal 2"/>
    <tableColumn id="56" name="50" dataDxfId="295" dataCellStyle="Normal 2"/>
    <tableColumn id="57" name="סה&quot;כ" dataDxfId="294">
      <calculatedColumnFormula>SUM(טבלה3441[[#This Row],[1]:[50]])</calculatedColumnFormula>
    </tableColumn>
    <tableColumn id="58" name="הזמנה" dataDxfId="293">
      <calculatedColumnFormula>טבלה3441[[#This Row],[סה"כ]]</calculatedColumnFormula>
    </tableColumn>
    <tableColumn id="59" name="מוצר" dataDxfId="292" dataCellStyle="Normal 2">
      <calculatedColumnFormula>טבלה3441[[#This Row],[פרודוקטים]]</calculatedColumnFormula>
    </tableColumn>
    <tableColumn id="60" name="תוספת" dataDxfId="291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6" name="טבלה2327" displayName="טבלה2327" ref="K3:N8" totalsRowShown="0" dataDxfId="289" headerRowBorderDxfId="290" tableBorderDxfId="288">
  <autoFilter ref="K3:N8"/>
  <tableColumns count="4">
    <tableColumn id="1" name="מקט" dataDxfId="287"/>
    <tableColumn id="2" name="מוצר" dataDxfId="286"/>
    <tableColumn id="3" name="גודל אריזה " dataDxfId="285"/>
    <tableColumn id="4" name="כמות" dataDxfId="284">
      <calculatedColumnFormula>SUMIF(D15:D19,טבלה2327[[#This Row],[מוצר]],G15:G19)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טבלה24" displayName="טבלה24" ref="O4:R17" totalsRowShown="0" headerRowDxfId="283" dataDxfId="282">
  <autoFilter ref="O4:R17"/>
  <tableColumns count="4">
    <tableColumn id="1" name="מקט" dataDxfId="281"/>
    <tableColumn id="2" name="מוצר" dataDxfId="280"/>
    <tableColumn id="3" name="גודל אריזה " dataDxfId="279"/>
    <tableColumn id="4" name="כמות" dataDxfId="278">
      <calculatedColumnFormula>SUMIF(D4:D127,טבלה24[[#This Row],[מוצר]],$H$4:$H$128)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טבלה2426" displayName="טבלה2426" ref="O19:R21" totalsRowShown="0" headerRowDxfId="277" dataDxfId="276">
  <autoFilter ref="O19:R21"/>
  <tableColumns count="4">
    <tableColumn id="1" name="מקט" dataDxfId="275"/>
    <tableColumn id="2" name="מוצר" dataDxfId="274"/>
    <tableColumn id="3" name="גודל אריזה " dataDxfId="273"/>
    <tableColumn id="4" name="כמות" dataDxfId="272">
      <calculatedColumnFormula>SUMIF($D$4:$D$127,טבלה2426[[#This Row],[מוצר]],$H$4:$H$127)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7" name="טבלה628" displayName="טבלה628" ref="B11:F213" totalsRowShown="0" headerRowDxfId="271" dataDxfId="270">
  <autoFilter ref="B11:F213"/>
  <sortState ref="B12:F582">
    <sortCondition ref="B11:B582"/>
  </sortState>
  <tableColumns count="5">
    <tableColumn id="1" name="קוד מוצר" dataDxfId="269"/>
    <tableColumn id="2" name="מוצר" dataDxfId="268"/>
    <tableColumn id="3" name="מחיר לקוח" dataDxfId="267" dataCellStyle="Currency"/>
    <tableColumn id="4" name="יח' לקוח" dataDxfId="266" dataCellStyle="Currency"/>
    <tableColumn id="26" name="תוספת" dataDxfId="265" dataCellStyle="Currency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1" name="טבלה21" displayName="טבלה21" ref="B4:AA28" totalsRowCount="1" headerRowDxfId="264" dataDxfId="263" totalsRowDxfId="262">
  <autoFilter ref="B4:AA27"/>
  <tableColumns count="26">
    <tableColumn id="6" name="קוד מוצר" dataDxfId="261" totalsRowDxfId="260"/>
    <tableColumn id="1" name="מוצר" dataDxfId="259" totalsRowDxfId="258"/>
    <tableColumn id="3" name="יח' לקוח" dataDxfId="257" totalsRowDxfId="256"/>
    <tableColumn id="12" name="כמות בקרטון " dataDxfId="255" totalsRowDxfId="254"/>
    <tableColumn id="11" name="מחיר לקרטון לפני " dataDxfId="253" totalsRowDxfId="252" dataCellStyle="Currency"/>
    <tableColumn id="26" name="מתכלה אחרי" dataDxfId="251" totalsRowDxfId="250" dataCellStyle="Currency"/>
    <tableColumn id="21" name="מחיר יח' אחרי " dataDxfId="249" totalsRowDxfId="248" dataCellStyle="Currency">
      <calculatedColumnFormula>טבלה21[[#This Row],[מחיר לקרטון לפני ]]/טבלה21[[#This Row],[כמות בקרטון ]]*1.17</calculatedColumnFormula>
    </tableColumn>
    <tableColumn id="27" name="סה&quot;כ מתכלה" totalsRowFunction="sum" dataDxfId="247" totalsRowDxfId="246" dataCellStyle="Currency">
      <calculatedColumnFormula>טבלה21[[#This Row],[כמות ]]*טבלה21[[#This Row],[מתכלה אחרי]]</calculatedColumnFormula>
    </tableColumn>
    <tableColumn id="22" name="סה&quot;כ רגיל" totalsRowFunction="sum" dataDxfId="245" totalsRowDxfId="244" dataCellStyle="Currency">
      <calculatedColumnFormula>טבלה21[[#This Row],[כמות ]]*טבלה21[[#This Row],[מחיר יח'' אחרי ]]</calculatedColumnFormula>
    </tableColumn>
    <tableColumn id="23" name="כמות " totalsRowFunction="sum" dataDxfId="243" totalsRowDxfId="242" dataCellStyle="Currency">
      <calculatedColumnFormula>SUM(טבלה21[[#This Row],[פימת קפה]:[קיטים מיוחדים]])</calculatedColumnFormula>
    </tableColumn>
    <tableColumn id="15" name="סה&quot;כ להזמנה" dataDxfId="241" totalsRowDxfId="240">
      <calculatedColumnFormula>IF(טבלה21[[#This Row],[כמות ]]=0,"",טבלה21[[#This Row],[כמות ]])</calculatedColumnFormula>
    </tableColumn>
    <tableColumn id="16" name="פימת קפה" dataDxfId="239" totalsRowDxfId="238">
      <calculatedColumnFormula>SUMIF(טבלה3[מקט],טבלה21[[#This Row],[קוד מוצר]],טבלה3[כמות])</calculatedColumnFormula>
    </tableColumn>
    <tableColumn id="17" name="פת שחרית" dataDxfId="237" totalsRowDxfId="236">
      <calculatedColumnFormula>SUMIF(טבלה321[מקט],טבלה21[[#This Row],[קוד מוצר]],טבלה321[כמות])</calculatedColumnFormula>
    </tableColumn>
    <tableColumn id="9" name="א. בוקר פריסה" dataDxfId="235" totalsRowDxfId="234">
      <calculatedColumnFormula>SUMIF(טבלה516[מקט],טבלה21[[#This Row],[קוד מוצר]],טבלה516[כמות])</calculatedColumnFormula>
    </tableColumn>
    <tableColumn id="18" name="א. צהררים פריסה " dataDxfId="233" totalsRowDxfId="232">
      <calculatedColumnFormula>SUMIF(טבלה5[מק"ט],טבלה21[[#This Row],[קוד מוצר]],טבלה5[כמות])</calculatedColumnFormula>
    </tableColumn>
    <tableColumn id="19" name="בוקר קיטים" dataDxfId="231" totalsRowDxfId="230">
      <calculatedColumnFormula>SUMIF(טבלה8[מק"ט],טבלה21[[#This Row],[קוד מוצר]],טבלה8[הזמנה])</calculatedColumnFormula>
    </tableColumn>
    <tableColumn id="20" name="צהריים קיטים" dataDxfId="229" totalsRowDxfId="228">
      <calculatedColumnFormula>SUMIF(טבלה8[מק"ט],טבלה21[[#This Row],[קוד מוצר]],טבלה8[הזמנה])</calculatedColumnFormula>
    </tableColumn>
    <tableColumn id="8" name="פריסת אמצע" dataDxfId="227" totalsRowDxfId="226">
      <calculatedColumnFormula>SUMIF(טבלה23[מקט],טבלה21[[#This Row],[קוד מוצר]],טבלה23[כמות])</calculatedColumnFormula>
    </tableColumn>
    <tableColumn id="7" name="מרק" dataDxfId="225" totalsRowDxfId="224">
      <calculatedColumnFormula>SUMIF(טבלה36[מקט],טבלה21[[#This Row],[קוד מוצר]],טבלה36[כמות])</calculatedColumnFormula>
    </tableColumn>
    <tableColumn id="13" name="ערב בישול 1" dataDxfId="223" totalsRowDxfId="222" dataCellStyle="Currency">
      <calculatedColumnFormula>SUMIF(טבלה33[מק"ט],טבלה21[[#This Row],[קוד מוצר]],טבלה33[הזמנה])</calculatedColumnFormula>
    </tableColumn>
    <tableColumn id="4" name="ערב בישול 2" dataDxfId="221" totalsRowDxfId="220">
      <calculatedColumnFormula>SUMIF(טבלה34[עמודה1],טבלה21[[#This Row],[קוד מוצר]],טבלה34[הזמנה])</calculatedColumnFormula>
    </tableColumn>
    <tableColumn id="5" name="ערב בישול 3" dataDxfId="219" totalsRowDxfId="218">
      <calculatedColumnFormula>SUMIF(טבלה35[עמודה1],טבלה21[[#This Row],[קוד מוצר]],טבלה35[הזמנה])</calculatedColumnFormula>
    </tableColumn>
    <tableColumn id="10" name="ערב קטן 1" dataDxfId="217" totalsRowDxfId="216">
      <calculatedColumnFormula>SUMIF(טבלה3338[מק"ט],טבלה21[[#This Row],[קוד מוצר]],טבלה3338[הזמנה])</calculatedColumnFormula>
    </tableColumn>
    <tableColumn id="2" name="ערב קטן 2" dataDxfId="215" totalsRowDxfId="214">
      <calculatedColumnFormula>SUMIF(טבלה3540[עמודה1],טבלה21[[#This Row],[קוד מוצר]],טבלה3540[הזמנה])</calculatedColumnFormula>
    </tableColumn>
    <tableColumn id="25" name="קייטרינג" dataDxfId="213" totalsRowDxfId="212">
      <calculatedColumnFormula>SUMIF(טבלה2327[מקט],טבלה21[[#This Row],[קוד מוצר]],טבלה2327[כמות])</calculatedColumnFormula>
    </tableColumn>
    <tableColumn id="14" name="קיטים מיוחדים" dataDxfId="211" totalsRowDxfId="210">
      <calculatedColumnFormula>SUMIF(טבלה2426[מקט],טבלה21[[#This Row],[קוד מוצר]],טבלה2426[כמות])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" name="Table1" displayName="Table1" ref="B1:K14" totalsRowCount="1" dataDxfId="208" headerRowBorderDxfId="209" tableBorderDxfId="207" totalsRowBorderDxfId="206" dataCellStyle="Normal_גיליון1">
  <autoFilter ref="B1:K13"/>
  <sortState ref="B2:K234">
    <sortCondition ref="K1:K234"/>
  </sortState>
  <tableColumns count="10">
    <tableColumn id="1" name="מק&quot;ט" dataDxfId="205" totalsRowDxfId="204" dataCellStyle="Normal_גיליון1"/>
    <tableColumn id="2" name="מוצר" dataDxfId="203" totalsRowDxfId="202" dataCellStyle="Normal_גיליון1"/>
    <tableColumn id="3" name="CustCode:" dataDxfId="201" totalsRowDxfId="200" dataCellStyle="Normal_גיליון1"/>
    <tableColumn id="4" name="עלות" dataDxfId="199" totalsRowDxfId="198" dataCellStyle="Normal_גיליון1"/>
    <tableColumn id="5" name="מחיר לקוח" dataDxfId="197" totalsRowDxfId="196" dataCellStyle="Normal_גיליון1"/>
    <tableColumn id="6" name="%גולמי" dataDxfId="195" totalsRowDxfId="194" dataCellStyle="Normal_גיליון1"/>
    <tableColumn id="7" name="יח' לקוח" dataDxfId="193" totalsRowDxfId="192" dataCellStyle="Normal_גיליון1"/>
    <tableColumn id="8" name="כמות" dataDxfId="191" totalsRowDxfId="190" dataCellStyle="Normal_גיליון1"/>
    <tableColumn id="9" name="סה&quot;כ" totalsRowFunction="sum" dataDxfId="189" totalsRowDxfId="188">
      <calculatedColumnFormula>Table1[[#This Row],[כמות]]*Table1[[#This Row],[מחיר לקוח]]</calculatedColumnFormula>
    </tableColumn>
    <tableColumn id="10" name="מחלקה" dataDxfId="187" totalsRowDxfId="186" dataCellStyle="Normal_גיליון1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4" name="Table2" displayName="Table2" ref="B16:K61" totalsRowCount="1">
  <autoFilter ref="B16:K60"/>
  <tableColumns count="10">
    <tableColumn id="1" name="מק&quot;ט" dataDxfId="185" totalsRowDxfId="184" dataCellStyle="Normal_גיליון1"/>
    <tableColumn id="2" name="מוצר" dataDxfId="183" totalsRowDxfId="182" dataCellStyle="Normal_גיליון1"/>
    <tableColumn id="3" name="CustCode:" dataDxfId="181" totalsRowDxfId="180" dataCellStyle="Normal_גיליון1"/>
    <tableColumn id="4" name="עלות" dataDxfId="179" totalsRowDxfId="178" dataCellStyle="Normal_גיליון1"/>
    <tableColumn id="5" name="מחיר לקוח" dataDxfId="177" totalsRowDxfId="176" dataCellStyle="Normal_גיליון1"/>
    <tableColumn id="6" name="%גולמי" dataDxfId="175" totalsRowDxfId="174" dataCellStyle="Normal_גיליון1"/>
    <tableColumn id="7" name="יח' לקוח" dataDxfId="173" totalsRowDxfId="172" dataCellStyle="Normal_גיליון1"/>
    <tableColumn id="8" name="כמות" dataDxfId="171" totalsRowDxfId="170"/>
    <tableColumn id="9" name="סה&quot;כ" totalsRowFunction="sum" dataDxfId="169" totalsRowDxfId="168">
      <calculatedColumnFormula>Table2[[#This Row],[כמות]]*Table2[[#This Row],[מחיר לקוח]]</calculatedColumnFormula>
    </tableColumn>
    <tableColumn id="10" name="מחלקה" dataDxfId="167" totalsRowDxfId="166" dataCellStyle="Normal_גיליון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טבלה115179" displayName="טבלה115179" ref="K5:N9" totalsRowShown="0" headerRowDxfId="1143" dataDxfId="1142">
  <autoFilter ref="K5:N9"/>
  <tableColumns count="4">
    <tableColumn id="4" name="מקט" dataDxfId="1141" totalsRowDxfId="1140"/>
    <tableColumn id="1" name="מוצר" dataDxfId="1139" totalsRowDxfId="1138"/>
    <tableColumn id="2" name="גודל אריזה " dataDxfId="1137" totalsRowDxfId="1136"/>
    <tableColumn id="5" name="כמות" dataDxfId="1135" totalsRowDxfId="1134">
      <calculatedColumnFormula>SUMIF($D$6:$D$17,טבלה115179[[#This Row],[מוצר]],$H$6:$H$17)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7" name="Table3" displayName="Table3" ref="B63:K193" totalsRowCount="1">
  <autoFilter ref="B63:K192"/>
  <tableColumns count="10">
    <tableColumn id="1" name="מק&quot;ט" dataDxfId="165" totalsRowDxfId="164" dataCellStyle="Normal_גיליון1"/>
    <tableColumn id="2" name="מוצר" dataDxfId="163" totalsRowDxfId="162" dataCellStyle="Normal_גיליון1"/>
    <tableColumn id="3" name="CustCode:" dataDxfId="161" totalsRowDxfId="160" dataCellStyle="Normal_גיליון1"/>
    <tableColumn id="4" name="עלות" dataDxfId="159" totalsRowDxfId="158" dataCellStyle="Normal_גיליון1"/>
    <tableColumn id="5" name="מחיר לקוח" dataDxfId="157" totalsRowDxfId="156" dataCellStyle="Normal_גיליון1"/>
    <tableColumn id="6" name="%גולמי" dataDxfId="155" totalsRowDxfId="154" dataCellStyle="Normal_גיליון1"/>
    <tableColumn id="7" name="יח' לקוח" dataDxfId="153" totalsRowDxfId="152" dataCellStyle="Normal_גיליון1"/>
    <tableColumn id="8" name="כמות" dataDxfId="151" totalsRowDxfId="150"/>
    <tableColumn id="9" name="סה&quot;כ" totalsRowFunction="sum" dataDxfId="149" totalsRowDxfId="148">
      <calculatedColumnFormula>Table3[[#This Row],[כמות]]*Table3[[#This Row],[מחיר לקוח]]</calculatedColumnFormula>
    </tableColumn>
    <tableColumn id="10" name="מחלקה" dataDxfId="147" totalsRowDxfId="146" dataCellStyle="Normal_גיליון1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9" name="Table4" displayName="Table4" ref="B195:K235" totalsRowCount="1">
  <autoFilter ref="B195:K234"/>
  <tableColumns count="10">
    <tableColumn id="1" name="מק&quot;ט" dataDxfId="145" totalsRowDxfId="144" dataCellStyle="Normal_גיליון1"/>
    <tableColumn id="2" name="מוצר" dataDxfId="143" totalsRowDxfId="142" dataCellStyle="Normal_גיליון1"/>
    <tableColumn id="3" name="CustCode:" dataDxfId="141" totalsRowDxfId="140" dataCellStyle="Normal_גיליון1"/>
    <tableColumn id="4" name="עלות" dataDxfId="139" totalsRowDxfId="138" dataCellStyle="Normal_גיליון1"/>
    <tableColumn id="5" name="מחיר לקוח" dataDxfId="137" totalsRowDxfId="136" dataCellStyle="Normal_גיליון1"/>
    <tableColumn id="6" name="%גולמי" dataDxfId="135" totalsRowDxfId="134" dataCellStyle="Normal_גיליון1"/>
    <tableColumn id="7" name="יח' לקוח" dataDxfId="133" totalsRowDxfId="132" dataCellStyle="Normal_גיליון1"/>
    <tableColumn id="8" name="כמות" dataDxfId="131" totalsRowDxfId="130"/>
    <tableColumn id="9" name="סה&quot;כ" totalsRowFunction="sum" dataDxfId="129" totalsRowDxfId="128">
      <calculatedColumnFormula>Table4[[#This Row],[כמות]]*Table4[[#This Row],[מחיר לקוח]]</calculatedColumnFormula>
    </tableColumn>
    <tableColumn id="10" name="מחלקה" dataDxfId="127" totalsRowDxfId="126" dataCellStyle="Normal_גיליון1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10" name="Table5" displayName="Table5" ref="B237:K250" totalsRowCount="1">
  <autoFilter ref="B237:K249"/>
  <tableColumns count="10">
    <tableColumn id="1" name="מק&quot;ט" totalsRowDxfId="125"/>
    <tableColumn id="2" name="מוצר" totalsRowDxfId="124"/>
    <tableColumn id="3" name="CustCode:" totalsRowDxfId="123"/>
    <tableColumn id="4" name="עלות" totalsRowDxfId="122"/>
    <tableColumn id="5" name="מחיר לקוח" dataDxfId="121" totalsRowDxfId="120"/>
    <tableColumn id="6" name="%גולמי" totalsRowDxfId="119"/>
    <tableColumn id="7" name="יח' לקוח" totalsRowDxfId="118"/>
    <tableColumn id="8" name="כמות" dataDxfId="117" totalsRowDxfId="116"/>
    <tableColumn id="9" name="סה&quot;כ" totalsRowFunction="sum" dataDxfId="115" totalsRowDxfId="114">
      <calculatedColumnFormula>Table5[[#This Row],[כמות]]*Table5[[#This Row],[מחיר לקוח]]</calculatedColumnFormula>
    </tableColumn>
    <tableColumn id="10" name="מחלקה" dataDxfId="113" totalsRowDxfId="112" dataCellStyle="Normal_גיליון1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11" name="Table6" displayName="Table6" ref="B252:K277" totalsRowCount="1">
  <autoFilter ref="B252:K276"/>
  <tableColumns count="10">
    <tableColumn id="1" name="מק&quot;ט" dataDxfId="111" totalsRowDxfId="110" dataCellStyle="Normal_גיליון1"/>
    <tableColumn id="2" name="מוצר" dataDxfId="109" totalsRowDxfId="108" dataCellStyle="Normal_גיליון1"/>
    <tableColumn id="3" name="CustCode:" dataDxfId="107" totalsRowDxfId="106" dataCellStyle="Normal_גיליון1"/>
    <tableColumn id="4" name="עלות" dataDxfId="105" totalsRowDxfId="104" dataCellStyle="Normal_גיליון1"/>
    <tableColumn id="5" name="מחיר לקוח" dataDxfId="103" totalsRowDxfId="102" dataCellStyle="Normal_גיליון1"/>
    <tableColumn id="6" name="%גולמי" dataDxfId="101" totalsRowDxfId="100" dataCellStyle="Normal_גיליון1"/>
    <tableColumn id="7" name="יח' לקוח" dataDxfId="99" totalsRowDxfId="98" dataCellStyle="Normal_גיליון1"/>
    <tableColumn id="8" name="כמות" dataDxfId="97" totalsRowDxfId="96"/>
    <tableColumn id="9" name="סה&quot;כ" totalsRowFunction="sum" dataDxfId="95" totalsRowDxfId="94">
      <calculatedColumnFormula>Table6[[#This Row],[כמות]]*Table6[[#This Row],[מחיר לקוח]]</calculatedColumnFormula>
    </tableColumn>
    <tableColumn id="10" name="מחלקה" dataDxfId="93" totalsRowDxfId="92" dataCellStyle="Normal_גיליון1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12" name="Table7" displayName="Table7" ref="B285:K288" totalsRowCount="1">
  <autoFilter ref="B285:K287"/>
  <tableColumns count="10">
    <tableColumn id="1" name="מק&quot;ט" dataDxfId="91" totalsRowDxfId="90" dataCellStyle="Normal_גיליון1"/>
    <tableColumn id="2" name="מוצר" dataDxfId="89" totalsRowDxfId="88" dataCellStyle="Normal_גיליון1"/>
    <tableColumn id="3" name="CustCode:" dataDxfId="87" totalsRowDxfId="86" dataCellStyle="Normal_גיליון1"/>
    <tableColumn id="4" name="עלות" dataDxfId="85" totalsRowDxfId="84" dataCellStyle="Normal_גיליון1"/>
    <tableColumn id="5" name="מחיר לקוח" dataDxfId="83" totalsRowDxfId="82" dataCellStyle="Currency 2"/>
    <tableColumn id="6" name="%גולמי" dataDxfId="81" totalsRowDxfId="80" dataCellStyle="Normal_גיליון1"/>
    <tableColumn id="7" name="יח' לקוח" dataDxfId="79" totalsRowDxfId="78" dataCellStyle="Normal_גיליון1"/>
    <tableColumn id="8" name="כמות" dataDxfId="77" totalsRowDxfId="76"/>
    <tableColumn id="9" name="סה&quot;כ" totalsRowFunction="sum" dataDxfId="75" totalsRowDxfId="74" dataCellStyle="Currency 2">
      <calculatedColumnFormula>Table7[[#This Row],[כמות]]*Table7[[#This Row],[מחיר לקוח]]</calculatedColumnFormula>
    </tableColumn>
    <tableColumn id="10" name="מחלקה" dataDxfId="73" totalsRowDxfId="72" dataCellStyle="Normal_גיליון1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13" name="Table710" displayName="Table710" ref="B279:K283" totalsRowCount="1">
  <autoFilter ref="B279:K282"/>
  <tableColumns count="10">
    <tableColumn id="1" name="מק&quot;ט" dataDxfId="71" dataCellStyle="Normal_גיליון1"/>
    <tableColumn id="2" name="מוצר" dataDxfId="70" dataCellStyle="Normal_גיליון1"/>
    <tableColumn id="3" name="CustCode:" dataDxfId="69" dataCellStyle="Normal_גיליון1"/>
    <tableColumn id="4" name="עלות" dataDxfId="68" dataCellStyle="Normal_גיליון1"/>
    <tableColumn id="5" name="מחיר לקוח" dataDxfId="67" totalsRowDxfId="66" dataCellStyle="Normal_גיליון1"/>
    <tableColumn id="6" name="%גולמי" dataDxfId="65" dataCellStyle="Normal_גיליון1"/>
    <tableColumn id="7" name="יח' לקוח" dataDxfId="64" dataCellStyle="Normal_גיליון1"/>
    <tableColumn id="8" name="כמות" dataDxfId="63" totalsRowDxfId="62"/>
    <tableColumn id="9" name="סה&quot;כ" totalsRowFunction="sum" dataDxfId="61" totalsRowDxfId="60">
      <calculatedColumnFormula>Table710[[#This Row],[כמות]]*Table710[[#This Row],[מחיר לקוח]]</calculatedColumnFormula>
    </tableColumn>
    <tableColumn id="10" name="מחלקה" dataDxfId="59" totalsRowDxfId="58" dataCellStyle="Normal_גיליון1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18" name="טבלה18" displayName="טבלה18" ref="E27:J49" totalsRowShown="0" headerRowDxfId="57">
  <autoFilter ref="E27:J49"/>
  <tableColumns count="6">
    <tableColumn id="1" name="עמודה1" dataDxfId="56">
      <calculatedColumnFormula>קיטים!C29</calculatedColumnFormula>
    </tableColumn>
    <tableColumn id="2" name="עמודה2" dataDxfId="55">
      <calculatedColumnFormula>קיטים!EI29</calculatedColumnFormula>
    </tableColumn>
    <tableColumn id="3" name="עמודה3" dataDxfId="54" dataCellStyle="Currency"/>
    <tableColumn id="4" name="כמות למחיר" dataDxfId="53"/>
    <tableColumn id="5" name="מחיר לארוחה" dataDxfId="52"/>
    <tableColumn id="6" name="עמודה3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19" name="טבלה19" displayName="טבלה19" ref="E3:J23" totalsRowShown="0" headerRowDxfId="51">
  <autoFilter ref="E3:J23"/>
  <tableColumns count="6">
    <tableColumn id="1" name="עמודה1" dataDxfId="50">
      <calculatedColumnFormula>קיטים!C9</calculatedColumnFormula>
    </tableColumn>
    <tableColumn id="2" name="עמודה2" dataDxfId="49">
      <calculatedColumnFormula>קיטים!EI9</calculatedColumnFormula>
    </tableColumn>
    <tableColumn id="5" name="מחיר למוצר" dataDxfId="48">
      <calculatedColumnFormula>ROUNDUP(טבלה19[[#This Row],[עמודה2]]/7,0)</calculatedColumnFormula>
    </tableColumn>
    <tableColumn id="3" name="כמות למחיר" dataDxfId="47"/>
    <tableColumn id="4" name="מחיר לארוחה" dataDxfId="46">
      <calculatedColumnFormula>(G4/H4)*F4</calculatedColumnFormula>
    </tableColumn>
    <tableColumn id="6" name="עמודה3" dataDxfId="45">
      <calculatedColumnFormula>טבלה19[[#This Row],[מחיר לארוחה]]*$C$2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22" name="טבלה1151723" displayName="טבלה1151723" ref="C3:E80" totalsRowShown="0" tableBorderDxfId="44">
  <autoFilter ref="C3:E80"/>
  <sortState ref="C4:E100">
    <sortCondition ref="C3:C100"/>
  </sortState>
  <tableColumns count="3">
    <tableColumn id="1" name="מוצר"/>
    <tableColumn id="2" name="גודל אריזה " dataDxfId="43"/>
    <tableColumn id="3" name="כמות"/>
  </tableColumns>
  <tableStyleInfo name="TableStyleLight16" showFirstColumn="0" showLastColumn="0" showRowStripes="1" showColumnStripes="0"/>
</table>
</file>

<file path=xl/tables/table39.xml><?xml version="1.0" encoding="utf-8"?>
<table xmlns="http://schemas.openxmlformats.org/spreadsheetml/2006/main" id="38" name="טבלה38" displayName="טבלה38" ref="B11:AP213" totalsRowShown="0" headerRowDxfId="42" dataDxfId="41" headerRowCellStyle="Normal 2" dataCellStyle="Normal 2">
  <autoFilter ref="B11:AP213"/>
  <sortState ref="B12:AP213">
    <sortCondition ref="F11:F213"/>
  </sortState>
  <tableColumns count="41">
    <tableColumn id="1" name="קוד מוצר" dataDxfId="40" dataCellStyle="Normal 2"/>
    <tableColumn id="2" name="שם מוצר" dataDxfId="39" dataCellStyle="Normal 2"/>
    <tableColumn id="3" name="יח'" dataDxfId="38" dataCellStyle="Normal 2"/>
    <tableColumn id="4" name="מחיר" dataDxfId="37" dataCellStyle="Normal 2"/>
    <tableColumn id="5" name="סה&quot;כ בהזמנה" dataDxfId="36" dataCellStyle="Normal 2">
      <calculatedColumnFormula>IF(טבלה38[[#This Row],[סה"כ]]&gt;0,טבלה38[[#This Row],[סה"כ]],"")</calculatedColumnFormula>
    </tableColumn>
    <tableColumn id="6" name="% מע&quot;מ" dataDxfId="35" dataCellStyle="Normal 2"/>
    <tableColumn id="7" name="מחיר ליח' כולל " dataDxfId="34" dataCellStyle="Normal 2">
      <calculatedColumnFormula>טבלה38[[#This Row],[מחיר]]+טבלה38[[#This Row],[% מע"מ]]*טבלה38[[#This Row],[מחיר]]</calculatedColumnFormula>
    </tableColumn>
    <tableColumn id="8" name="סה&quot;כ להזמנה כולל מע&quot;מ" dataDxfId="33" dataCellStyle="Normal 2">
      <calculatedColumnFormula>טבלה38[[#This Row],[סה"כ]]*טבלה38[[#This Row],[מחיר ליח'' כולל ]]</calculatedColumnFormula>
    </tableColumn>
    <tableColumn id="9" name="סה&quot;כ" dataDxfId="32" dataCellStyle="Normal 2">
      <calculatedColumnFormula>SUM(טבלה38[[#This Row],[פימת קפה]:[תוספות]])</calculatedColumnFormula>
    </tableColumn>
    <tableColumn id="10" name="פימת קפה" dataDxfId="31" dataCellStyle="Normal 2">
      <calculatedColumnFormula>SUMIF(טבלה11517[מקט],טבלה38[[#This Row],[קוד מוצר]],טבלה11517[כמות])</calculatedColumnFormula>
    </tableColumn>
    <tableColumn id="11" name="פת שחרית" dataDxfId="30" dataCellStyle="Normal 2">
      <calculatedColumnFormula>SUMIF(טבלה115179[מקט],טבלה38[[#This Row],[קוד מוצר]],טבלה115179[כמות])</calculatedColumnFormula>
    </tableColumn>
    <tableColumn id="12" name="א. בוקר פריסה" dataDxfId="29" dataCellStyle="Normal 2">
      <calculatedColumnFormula>SUMIF(טבלה115[מקט],טבלה38[[#This Row],[קוד מוצר]],טבלה115[כמות])</calculatedColumnFormula>
    </tableColumn>
    <tableColumn id="13" name="א. צהררים פריסה " dataDxfId="28" dataCellStyle="Normal 2">
      <calculatedColumnFormula>SUMIF(טבלה1[מק"ט],טבלה38[[#This Row],[קוד מוצר]],טבלה1[כמות])</calculatedColumnFormula>
    </tableColumn>
    <tableColumn id="14" name="בוקר קיטים" dataDxfId="27" dataCellStyle="Normal 2">
      <calculatedColumnFormula>SUMIF(טבלה8[מק"ט],טבלה38[[#This Row],[קוד מוצר]],טבלה8[הזמנה])</calculatedColumnFormula>
    </tableColumn>
    <tableColumn id="15" name="צהריים קיטים" dataDxfId="26" dataCellStyle="Normal 2">
      <calculatedColumnFormula>SUMIF(טבלה15[מק"ט],טבלה38[[#This Row],[קוד מוצר]],טבלה15[הזמנה])</calculatedColumnFormula>
    </tableColumn>
    <tableColumn id="16" name="פריסת אמצע" dataDxfId="25" dataCellStyle="Normal 2">
      <calculatedColumnFormula>SUMIF(טבלה1151718[מקט],טבלה38[[#This Row],[קוד מוצר]],טבלה1151718[כמות])</calculatedColumnFormula>
    </tableColumn>
    <tableColumn id="17" name="מרק" dataDxfId="24" dataCellStyle="Normal 2">
      <calculatedColumnFormula>SUMIF(טבלה125[מקט],טבלה38[[#This Row],[קוד מוצר]],טבלה125[כמות])</calculatedColumnFormula>
    </tableColumn>
    <tableColumn id="18" name="ערב בישול 1" dataDxfId="23" dataCellStyle="Normal 2">
      <calculatedColumnFormula>SUMIF(טבלה33[מק"ט],טבלה38[[#This Row],[קוד מוצר]],טבלה33[הזמנה])</calculatedColumnFormula>
    </tableColumn>
    <tableColumn id="19" name="ערב בישול 2" dataDxfId="22" dataCellStyle="Normal 2">
      <calculatedColumnFormula>SUMIF(טבלה34[עמודה1],טבלה38[[#This Row],[קוד מוצר]],טבלה34[הזמנה])</calculatedColumnFormula>
    </tableColumn>
    <tableColumn id="20" name="ערב בישול 3" dataDxfId="21" dataCellStyle="Normal 2">
      <calculatedColumnFormula>SUMIF(טבלה35[עמודה1],טבלה38[[#This Row],[קוד מוצר]],טבלה35[הזמנה])</calculatedColumnFormula>
    </tableColumn>
    <tableColumn id="21" name="ערב קטן 1" dataDxfId="20" dataCellStyle="Normal 2">
      <calculatedColumnFormula>SUMIF(טבלה3338[מק"ט],טבלה38[[#This Row],[קוד מוצר]],טבלה3338[הזמנה])</calculatedColumnFormula>
    </tableColumn>
    <tableColumn id="22" name="ערב קטן 2" dataDxfId="19" dataCellStyle="Normal 2">
      <calculatedColumnFormula>SUMIF(טבלה3540[עמודה1],טבלה38[[#This Row],[קוד מוצר]],טבלה3540[הזמנה])</calculatedColumnFormula>
    </tableColumn>
    <tableColumn id="23" name="ערב קטן 3" dataDxfId="18" dataCellStyle="Normal 2">
      <calculatedColumnFormula>SUMIF(טבלה3441[עמודה1],טבלה38[[#This Row],[קוד מוצר]],טבלה3441[הזמנה])</calculatedColumnFormula>
    </tableColumn>
    <tableColumn id="24" name="קיטים מיוחדים" dataDxfId="17" dataCellStyle="Normal 2">
      <calculatedColumnFormula>SUMIF(טבלה24[מקט],טבלה38[[#This Row],[קוד מוצר]],טבלה24[כמות])</calculatedColumnFormula>
    </tableColumn>
    <tableColumn id="25" name="תוספות" dataDxfId="16" dataCellStyle="Normal 2">
      <calculatedColumnFormula>SUMIF(טבלה628[קוד מוצר],טבלה38[[#This Row],[קוד מוצר]],טבלה628[תוספת])</calculatedColumnFormula>
    </tableColumn>
    <tableColumn id="26" name="פימת קפה2" dataDxfId="15" dataCellStyle="Normal 2">
      <calculatedColumnFormula>טבלה38[[#This Row],[פימת קפה]]*טבלה38[[#This Row],[מחיר ליח'' כולל ]]</calculatedColumnFormula>
    </tableColumn>
    <tableColumn id="27" name="פת שחרית3" dataDxfId="14" dataCellStyle="Normal 2">
      <calculatedColumnFormula>טבלה38[[#This Row],[פת שחרית]]*טבלה38[[#This Row],[מחיר ליח'' כולל ]]</calculatedColumnFormula>
    </tableColumn>
    <tableColumn id="28" name="א. בוקר פריסה4" dataDxfId="13" dataCellStyle="Normal 2">
      <calculatedColumnFormula>טבלה38[[#This Row],[א. בוקר פריסה]]*טבלה38[[#This Row],[מחיר ליח'' כולל ]]</calculatedColumnFormula>
    </tableColumn>
    <tableColumn id="29" name="א. צהררים פריסה 5" dataDxfId="12" dataCellStyle="Normal 2">
      <calculatedColumnFormula>טבלה38[[#This Row],[א. צהררים פריסה ]]*טבלה38[[#This Row],[מחיר ליח'' כולל ]]</calculatedColumnFormula>
    </tableColumn>
    <tableColumn id="30" name="בוקר קיטים6" dataDxfId="11" dataCellStyle="Normal 2">
      <calculatedColumnFormula>טבלה38[[#This Row],[בוקר קיטים]]*טבלה38[[#This Row],[מחיר ליח'' כולל ]]</calculatedColumnFormula>
    </tableColumn>
    <tableColumn id="31" name="צהריים קיטים7" dataDxfId="10" dataCellStyle="Normal 2">
      <calculatedColumnFormula>טבלה38[[#This Row],[צהריים קיטים]]*טבלה38[[#This Row],[מחיר ליח'' כולל ]]</calculatedColumnFormula>
    </tableColumn>
    <tableColumn id="32" name="פריסת אמצע8" dataDxfId="9" dataCellStyle="Normal 2">
      <calculatedColumnFormula>טבלה38[[#This Row],[פריסת אמצע]]*טבלה38[[#This Row],[מחיר ליח'' כולל ]]</calculatedColumnFormula>
    </tableColumn>
    <tableColumn id="33" name="מרק9" dataDxfId="8" dataCellStyle="Normal 2">
      <calculatedColumnFormula>טבלה38[[#This Row],[מרק]]*טבלה38[[#This Row],[מחיר ליח'' כולל ]]</calculatedColumnFormula>
    </tableColumn>
    <tableColumn id="34" name="ערב בישול 110" dataDxfId="7" dataCellStyle="Normal 2">
      <calculatedColumnFormula>טבלה38[[#This Row],[ערב בישול 1]]*טבלה38[[#This Row],[מחיר ליח'' כולל ]]</calculatedColumnFormula>
    </tableColumn>
    <tableColumn id="35" name="ערב בישול 211" dataDxfId="6" dataCellStyle="Normal 2">
      <calculatedColumnFormula>טבלה38[[#This Row],[ערב בישול 2]]*טבלה38[[#This Row],[מחיר ליח'' כולל ]]</calculatedColumnFormula>
    </tableColumn>
    <tableColumn id="36" name="ערב בישול 312" dataDxfId="5" dataCellStyle="Normal 2">
      <calculatedColumnFormula>טבלה38[[#This Row],[ערב בישול 3]]*טבלה38[[#This Row],[מחיר ליח'' כולל ]]</calculatedColumnFormula>
    </tableColumn>
    <tableColumn id="37" name="ערב קטן 113" dataDxfId="4" dataCellStyle="Normal 2">
      <calculatedColumnFormula>טבלה38[[#This Row],[ערב קטן 1]]*טבלה38[[#This Row],[מחיר ליח'' כולל ]]</calculatedColumnFormula>
    </tableColumn>
    <tableColumn id="41" name="ערב קטן 214" dataDxfId="3" dataCellStyle="Normal 2">
      <calculatedColumnFormula>טבלה38[[#This Row],[ערב קטן 2]]*טבלה38[[#This Row],[מחיר ליח'' כולל ]]</calculatedColumnFormula>
    </tableColumn>
    <tableColumn id="38" name="ערב קטן 315" dataDxfId="2" dataCellStyle="Normal 2">
      <calculatedColumnFormula>טבלה38[[#This Row],[ערב קטן 3]]*טבלה38[[#This Row],[מחיר ליח'' כולל ]]</calculatedColumnFormula>
    </tableColumn>
    <tableColumn id="39" name="קיטים מיוחדים15" dataDxfId="1" dataCellStyle="Normal 2">
      <calculatedColumnFormula>טבלה38[[#This Row],[קיטים מיוחדים]]*טבלה38[[#This Row],[מחיר ליח'' כולל ]]</calculatedColumnFormula>
    </tableColumn>
    <tableColumn id="40" name="תוספות16" dataDxfId="0" dataCellStyle="Normal 2">
      <calculatedColumnFormula>טבלה38[[#This Row],[תוספות]]*טבלה38[[#This Row],[מחיר ליח'' כולל 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0" name="טבלה321" displayName="טבלה321" ref="K11:N13" totalsRowShown="0" headerRowDxfId="1133" dataDxfId="1132" tableBorderDxfId="1131">
  <autoFilter ref="K11:N13"/>
  <tableColumns count="4">
    <tableColumn id="1" name="מקט" dataDxfId="1130" totalsRowDxfId="1129"/>
    <tableColumn id="2" name="מוצר" dataDxfId="1128" totalsRowDxfId="1127"/>
    <tableColumn id="3" name="גודל אריזה " dataDxfId="1126" totalsRowDxfId="1125"/>
    <tableColumn id="4" name="כמות" dataDxfId="1124" totalsRowDxfId="1123">
      <calculatedColumnFormula>SUMIF($D$6:$D$42,טבלה321[[#This Row],[מוצר]],$H$6:$H$42)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טבלה115" displayName="טבלה115" ref="K3:N26" totalsRowShown="0" headerRowDxfId="1122" dataDxfId="1121">
  <autoFilter ref="K3:N26"/>
  <sortState ref="K4:N26">
    <sortCondition ref="L3:L26"/>
  </sortState>
  <tableColumns count="4">
    <tableColumn id="4" name="מקט" dataDxfId="1120"/>
    <tableColumn id="1" name="מוצר" dataDxfId="1119"/>
    <tableColumn id="2" name="גודל אריזה " dataDxfId="1118"/>
    <tableColumn id="3" name="כמות" dataDxfId="1117">
      <calculatedColumnFormula>SUMIF($D$4:$D$98,טבלה115[[#This Row],[מוצר]],$G$4:$G$98)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טבלה516" displayName="טבלה516" ref="K29:N37" totalsRowShown="0" headerRowDxfId="1116" dataDxfId="1115">
  <autoFilter ref="K29:N37"/>
  <tableColumns count="4">
    <tableColumn id="4" name="מקט" dataDxfId="1114"/>
    <tableColumn id="1" name="מוצר" dataDxfId="1113"/>
    <tableColumn id="2" name="גודל אריזה " dataDxfId="1112"/>
    <tableColumn id="3" name="כמות" dataDxfId="1111">
      <calculatedColumnFormula>SUMIF($D$4:$D$98,טבלה516[[#This Row],[מוצר]],$G$4:$G$98)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טבלה5" displayName="טבלה5" ref="K24:N30" totalsRowShown="0" headerRowDxfId="1110" dataDxfId="1109">
  <autoFilter ref="K24:N30"/>
  <tableColumns count="4">
    <tableColumn id="4" name="מק&quot;ט" dataDxfId="1108"/>
    <tableColumn id="1" name="מוצר" dataDxfId="1107"/>
    <tableColumn id="2" name="גודל אריזה " dataDxfId="1106"/>
    <tableColumn id="3" name="כמות" dataDxfId="1105">
      <calculatedColumnFormula>SUMIF($D$7:$D$79,טבלה5[[#This Row],[מוצר]],$G$7:$G$79)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טבלה1" displayName="טבלה1" ref="K3:N22" totalsRowShown="0" headerRowDxfId="1104" dataDxfId="1103">
  <autoFilter ref="K3:N22"/>
  <sortState ref="G4:I34">
    <sortCondition ref="G3:G34"/>
  </sortState>
  <tableColumns count="4">
    <tableColumn id="4" name="מק&quot;ט" dataDxfId="1102"/>
    <tableColumn id="1" name="מוצר" dataDxfId="1101"/>
    <tableColumn id="2" name="גודל אריזה " dataDxfId="1100"/>
    <tableColumn id="3" name="כמות" dataDxfId="1099">
      <calculatedColumnFormula>CEILING(SUMIF($D$7:$D$105,טבלה1[[#This Row],[מוצר]],$G$7:$G$105),8)/8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8" name="טבלה8" displayName="טבלה8" ref="A8:FP28" totalsRowShown="0" headerRowDxfId="1098" dataDxfId="1097" headerRowCellStyle="Normal 2" dataCellStyle="Normal 2">
  <autoFilter ref="A8:FP28"/>
  <tableColumns count="172">
    <tableColumn id="1" name="מחלקה" dataDxfId="1096" dataCellStyle="Normal 2"/>
    <tableColumn id="2" name="מס" dataDxfId="1095" dataCellStyle="Normal 2"/>
    <tableColumn id="3" name="מק&quot;ט" dataDxfId="1094" dataCellStyle="Normal 2"/>
    <tableColumn id="4" name="מחיר" dataDxfId="1093" dataCellStyle="Normal 2">
      <calculatedColumnFormula>SUMIF([2]!טבלה6[קוד מוצר],C9,[2]!טבלה6[מחיר לקוח])</calculatedColumnFormula>
    </tableColumn>
    <tableColumn id="5" name="כמות במחיר" dataDxfId="1092" dataCellStyle="Normal 2"/>
    <tableColumn id="6" name="מחיר ליח'" dataDxfId="1091" dataCellStyle="Normal 2">
      <calculatedColumnFormula>D9/E9</calculatedColumnFormula>
    </tableColumn>
    <tableColumn id="7" name="% מעם" dataDxfId="1090" dataCellStyle="Percent"/>
    <tableColumn id="8" name="מעם" dataDxfId="1089" dataCellStyle="Currency">
      <calculatedColumnFormula>F9*G9</calculatedColumnFormula>
    </tableColumn>
    <tableColumn id="9" name="מחיר לקיט כולל" dataDxfId="1088" dataCellStyle="Currency">
      <calculatedColumnFormula>(H9+F9)*M9</calculatedColumnFormula>
    </tableColumn>
    <tableColumn id="10" name="מוצר" dataDxfId="1087"/>
    <tableColumn id="11" name="מפתח" dataDxfId="1086"/>
    <tableColumn id="12" name="מפתח2" dataDxfId="1085"/>
    <tableColumn id="13" name="1" dataDxfId="1084" dataCellStyle="Normal 2"/>
    <tableColumn id="14" name="2" dataDxfId="1083" dataCellStyle="Normal 2"/>
    <tableColumn id="15" name="3" dataDxfId="1082" dataCellStyle="Normal 2"/>
    <tableColumn id="16" name="4" dataDxfId="1081" dataCellStyle="Normal 2"/>
    <tableColumn id="17" name="5" dataDxfId="1080" dataCellStyle="Normal 2"/>
    <tableColumn id="18" name="6" dataDxfId="1079" dataCellStyle="Normal 2"/>
    <tableColumn id="19" name="7" dataDxfId="1078" dataCellStyle="Normal 2"/>
    <tableColumn id="20" name="8" dataDxfId="1077" dataCellStyle="Normal 2"/>
    <tableColumn id="21" name="9" dataDxfId="1076" dataCellStyle="Normal 2"/>
    <tableColumn id="108" name="10" dataDxfId="1075" dataCellStyle="Normal 2"/>
    <tableColumn id="109" name="11" dataDxfId="1074" dataCellStyle="Normal 2"/>
    <tableColumn id="110" name="12" dataDxfId="1073" dataCellStyle="Normal 2"/>
    <tableColumn id="111" name="13" dataDxfId="1072" dataCellStyle="Normal 2"/>
    <tableColumn id="112" name="14" dataDxfId="1071" dataCellStyle="Normal 2"/>
    <tableColumn id="113" name="15" dataDxfId="1070" dataCellStyle="Normal 2"/>
    <tableColumn id="114" name="16" dataDxfId="1069" dataCellStyle="Normal 2"/>
    <tableColumn id="115" name="17" dataDxfId="1068" dataCellStyle="Normal 2"/>
    <tableColumn id="116" name="18" dataDxfId="1067" dataCellStyle="Normal 2"/>
    <tableColumn id="117" name="19" dataDxfId="1066" dataCellStyle="Normal 2"/>
    <tableColumn id="120" name="20" dataDxfId="1065" dataCellStyle="Normal 2"/>
    <tableColumn id="121" name="21" dataDxfId="1064" dataCellStyle="Normal 2"/>
    <tableColumn id="122" name="22" dataDxfId="1063" dataCellStyle="Normal 2"/>
    <tableColumn id="123" name="23" dataDxfId="1062" dataCellStyle="Normal 2"/>
    <tableColumn id="124" name="24" dataDxfId="1061" dataCellStyle="Normal 2"/>
    <tableColumn id="125" name="25" dataDxfId="1060" dataCellStyle="Normal 2"/>
    <tableColumn id="118" name="26" dataDxfId="1059" dataCellStyle="Normal 2"/>
    <tableColumn id="119" name="27" dataDxfId="1058" dataCellStyle="Normal 2"/>
    <tableColumn id="96" name="28" dataDxfId="1057" dataCellStyle="Normal 2"/>
    <tableColumn id="97" name="29" dataDxfId="1056" dataCellStyle="Normal 2"/>
    <tableColumn id="98" name="30" dataDxfId="1055" dataCellStyle="Normal 2"/>
    <tableColumn id="99" name="31" dataDxfId="1054" dataCellStyle="Normal 2"/>
    <tableColumn id="100" name="32" dataDxfId="1053" dataCellStyle="Normal 2"/>
    <tableColumn id="101" name="33" dataDxfId="1052" dataCellStyle="Normal 2"/>
    <tableColumn id="102" name="34" dataDxfId="1051" dataCellStyle="Normal 2"/>
    <tableColumn id="103" name="35" dataDxfId="1050" dataCellStyle="Normal 2"/>
    <tableColumn id="104" name="36" dataDxfId="1049" dataCellStyle="Normal 2"/>
    <tableColumn id="105" name="37" dataDxfId="1048" dataCellStyle="Normal 2"/>
    <tableColumn id="106" name="38" dataDxfId="1047" dataCellStyle="Normal 2"/>
    <tableColumn id="107" name="39" dataDxfId="1046" dataCellStyle="Normal 2"/>
    <tableColumn id="84" name="40" dataDxfId="1045" dataCellStyle="Normal 2"/>
    <tableColumn id="85" name="41" dataDxfId="1044" dataCellStyle="Normal 2"/>
    <tableColumn id="86" name="42" dataDxfId="1043" dataCellStyle="Normal 2"/>
    <tableColumn id="87" name="43" dataDxfId="1042" dataCellStyle="Normal 2"/>
    <tableColumn id="88" name="44" dataDxfId="1041" dataCellStyle="Normal 2"/>
    <tableColumn id="89" name="45" dataDxfId="1040" dataCellStyle="Normal 2"/>
    <tableColumn id="90" name="46" dataDxfId="1039" dataCellStyle="Normal 2"/>
    <tableColumn id="91" name="47" dataDxfId="1038" dataCellStyle="Normal 2"/>
    <tableColumn id="92" name="48" dataDxfId="1037" dataCellStyle="Normal 2"/>
    <tableColumn id="93" name="49" dataDxfId="1036" dataCellStyle="Normal 2"/>
    <tableColumn id="94" name="50" dataDxfId="1035" dataCellStyle="Normal 2"/>
    <tableColumn id="95" name="51" dataDxfId="1034" dataCellStyle="Normal 2"/>
    <tableColumn id="22" name="52" dataDxfId="1033" dataCellStyle="Normal 2"/>
    <tableColumn id="23" name="53" dataDxfId="1032" dataCellStyle="Normal 2"/>
    <tableColumn id="24" name="54" dataDxfId="1031" dataCellStyle="Normal 2"/>
    <tableColumn id="25" name="55" dataDxfId="1030" dataCellStyle="Normal 2"/>
    <tableColumn id="26" name="56" dataDxfId="1029" dataCellStyle="Normal 2"/>
    <tableColumn id="27" name="57" dataDxfId="1028" dataCellStyle="Normal 2"/>
    <tableColumn id="28" name="58" dataDxfId="1027" dataCellStyle="Normal 2"/>
    <tableColumn id="29" name="59" dataDxfId="1026" dataCellStyle="Normal 2"/>
    <tableColumn id="30" name="60" dataDxfId="1025" dataCellStyle="Normal 2"/>
    <tableColumn id="31" name="61" dataDxfId="1024" dataCellStyle="Normal 2"/>
    <tableColumn id="32" name="62" dataDxfId="1023" dataCellStyle="Normal 2"/>
    <tableColumn id="33" name="63" dataDxfId="1022" dataCellStyle="Normal 2"/>
    <tableColumn id="34" name="64" dataDxfId="1021" dataCellStyle="Normal 2"/>
    <tableColumn id="35" name="65" dataDxfId="1020" dataCellStyle="Normal 2"/>
    <tableColumn id="36" name="66" dataDxfId="1019" dataCellStyle="Normal 2"/>
    <tableColumn id="37" name="67" dataDxfId="1018" dataCellStyle="Normal 2"/>
    <tableColumn id="38" name="68" dataDxfId="1017" dataCellStyle="Normal 2"/>
    <tableColumn id="39" name="69" dataDxfId="1016" dataCellStyle="Normal 2"/>
    <tableColumn id="40" name="70" dataDxfId="1015" dataCellStyle="Normal 2"/>
    <tableColumn id="41" name="71" dataDxfId="1014" dataCellStyle="Normal 2"/>
    <tableColumn id="42" name="72" dataDxfId="1013" dataCellStyle="Normal 2"/>
    <tableColumn id="43" name="73" dataDxfId="1012" dataCellStyle="Normal 2"/>
    <tableColumn id="80" name="74" dataDxfId="1011" dataCellStyle="Normal 2"/>
    <tableColumn id="81" name="75" dataDxfId="1010" dataCellStyle="Normal 2"/>
    <tableColumn id="82" name="76" dataDxfId="1009" dataCellStyle="Normal 2"/>
    <tableColumn id="83" name="77" dataDxfId="1008" dataCellStyle="Normal 2"/>
    <tableColumn id="126" name="78" dataDxfId="1007" dataCellStyle="Normal 2"/>
    <tableColumn id="127" name="79" dataDxfId="1006" dataCellStyle="Normal 2"/>
    <tableColumn id="128" name="80" dataDxfId="1005" dataCellStyle="Normal 2"/>
    <tableColumn id="129" name="81" dataDxfId="1004" dataCellStyle="Normal 2"/>
    <tableColumn id="130" name="82" dataDxfId="1003" dataCellStyle="Normal 2"/>
    <tableColumn id="131" name="83" dataDxfId="1002" dataCellStyle="Normal 2"/>
    <tableColumn id="132" name="84" dataDxfId="1001" dataCellStyle="Normal 2"/>
    <tableColumn id="133" name="85" dataDxfId="1000" dataCellStyle="Normal 2"/>
    <tableColumn id="134" name="86" dataDxfId="999" dataCellStyle="Normal 2"/>
    <tableColumn id="135" name="87" dataDxfId="998" dataCellStyle="Normal 2"/>
    <tableColumn id="136" name="88" dataDxfId="997" dataCellStyle="Normal 2"/>
    <tableColumn id="137" name="89" dataDxfId="996" dataCellStyle="Normal 2"/>
    <tableColumn id="138" name="90" dataDxfId="995" dataCellStyle="Normal 2"/>
    <tableColumn id="139" name="91" dataDxfId="994" dataCellStyle="Normal 2"/>
    <tableColumn id="140" name="92" dataDxfId="993" dataCellStyle="Normal 2"/>
    <tableColumn id="141" name="93" dataDxfId="992" dataCellStyle="Normal 2"/>
    <tableColumn id="142" name="94" dataDxfId="991" dataCellStyle="Normal 2"/>
    <tableColumn id="143" name="95" dataDxfId="990" dataCellStyle="Normal 2"/>
    <tableColumn id="144" name="96" dataDxfId="989" dataCellStyle="Normal 2"/>
    <tableColumn id="145" name="97" dataDxfId="988" dataCellStyle="Normal 2"/>
    <tableColumn id="146" name="98" dataDxfId="987" dataCellStyle="Normal 2"/>
    <tableColumn id="147" name="99" dataDxfId="986" dataCellStyle="Normal 2"/>
    <tableColumn id="148" name="100" dataDxfId="985" dataCellStyle="Normal 2"/>
    <tableColumn id="149" name="101" dataDxfId="984" dataCellStyle="Normal 2"/>
    <tableColumn id="150" name="102" dataDxfId="983" dataCellStyle="Normal 2"/>
    <tableColumn id="74" name="103" dataDxfId="982" dataCellStyle="Normal 2"/>
    <tableColumn id="75" name="104" dataDxfId="981" dataCellStyle="Normal 2"/>
    <tableColumn id="76" name="105" dataDxfId="980" dataCellStyle="Normal 2"/>
    <tableColumn id="77" name="106" dataDxfId="979" dataCellStyle="Normal 2"/>
    <tableColumn id="78" name="107" dataDxfId="978" dataCellStyle="Normal 2"/>
    <tableColumn id="79" name="108" dataDxfId="977" dataCellStyle="Normal 2"/>
    <tableColumn id="68" name="109" dataDxfId="976" dataCellStyle="Normal 2"/>
    <tableColumn id="69" name="110" dataDxfId="975" dataCellStyle="Normal 2"/>
    <tableColumn id="70" name="111" dataDxfId="974" dataCellStyle="Normal 2"/>
    <tableColumn id="151" name="112" dataDxfId="973" dataCellStyle="Normal 2"/>
    <tableColumn id="152" name="113" dataDxfId="972" dataCellStyle="Normal 2"/>
    <tableColumn id="153" name="114" dataDxfId="971" dataCellStyle="Normal 2"/>
    <tableColumn id="154" name="115" dataDxfId="970" dataCellStyle="Normal 2"/>
    <tableColumn id="155" name="116" dataDxfId="969" dataCellStyle="Normal 2"/>
    <tableColumn id="156" name="117" dataDxfId="968" dataCellStyle="Normal 2"/>
    <tableColumn id="157" name="118" dataDxfId="967" dataCellStyle="Normal 2"/>
    <tableColumn id="158" name="119" dataDxfId="966" dataCellStyle="Normal 2"/>
    <tableColumn id="159" name="120" dataDxfId="965" dataCellStyle="Normal 2"/>
    <tableColumn id="160" name="121" dataDxfId="964" dataCellStyle="Normal 2"/>
    <tableColumn id="161" name="122" dataDxfId="963" dataCellStyle="Normal 2"/>
    <tableColumn id="162" name="123" dataDxfId="962" dataCellStyle="Normal 2"/>
    <tableColumn id="163" name="124" dataDxfId="961" dataCellStyle="Normal 2"/>
    <tableColumn id="164" name="125" dataDxfId="960" dataCellStyle="Normal 2"/>
    <tableColumn id="165" name="126" dataDxfId="959" dataCellStyle="Normal 2"/>
    <tableColumn id="166" name="127" dataDxfId="958" dataCellStyle="Normal 2"/>
    <tableColumn id="167" name="128" dataDxfId="957" dataCellStyle="Normal 2"/>
    <tableColumn id="168" name="129" dataDxfId="956" dataCellStyle="Normal 2"/>
    <tableColumn id="169" name="130" dataDxfId="955" dataCellStyle="Normal 2"/>
    <tableColumn id="170" name="131" dataDxfId="954" dataCellStyle="Normal 2"/>
    <tableColumn id="171" name="132" dataDxfId="953" dataCellStyle="Normal 2"/>
    <tableColumn id="71" name="133" dataDxfId="952" dataCellStyle="Normal 2"/>
    <tableColumn id="72" name="134" dataDxfId="951" dataCellStyle="Normal 2"/>
    <tableColumn id="73" name="135" dataDxfId="950" dataCellStyle="Normal 2"/>
    <tableColumn id="62" name="136" dataDxfId="949" dataCellStyle="Normal 2"/>
    <tableColumn id="63" name="137" dataDxfId="948" dataCellStyle="Normal 2"/>
    <tableColumn id="64" name="138" dataDxfId="947" dataCellStyle="Normal 2"/>
    <tableColumn id="65" name="139" dataDxfId="946" dataCellStyle="Normal 2"/>
    <tableColumn id="66" name="140" dataDxfId="945" dataCellStyle="Normal 2"/>
    <tableColumn id="67" name="141" dataDxfId="944" dataCellStyle="Normal 2"/>
    <tableColumn id="56" name="142" dataDxfId="943" dataCellStyle="Normal 2"/>
    <tableColumn id="57" name="143" dataDxfId="942" dataCellStyle="Normal 2"/>
    <tableColumn id="58" name="144" dataDxfId="941" dataCellStyle="Normal 2"/>
    <tableColumn id="59" name="145" dataDxfId="940" dataCellStyle="Normal 2"/>
    <tableColumn id="60" name="146" dataDxfId="939" dataCellStyle="Normal 2"/>
    <tableColumn id="61" name="147" dataDxfId="938" dataCellStyle="Normal 2"/>
    <tableColumn id="54" name="148" dataDxfId="937" dataCellStyle="Normal 2"/>
    <tableColumn id="55" name="149" dataDxfId="936" dataCellStyle="Normal 2"/>
    <tableColumn id="52" name="150" dataDxfId="935" dataCellStyle="Normal 2"/>
    <tableColumn id="53" name="151" dataDxfId="934" dataCellStyle="Normal 2"/>
    <tableColumn id="51" name="152" dataDxfId="933" dataCellStyle="Normal 2"/>
    <tableColumn id="50" name="153" dataDxfId="932" dataCellStyle="Normal 2"/>
    <tableColumn id="44" name="154" dataDxfId="931" dataCellStyle="Normal 2"/>
    <tableColumn id="48" name="155" dataDxfId="930" dataCellStyle="Normal 2"/>
    <tableColumn id="45" name="156" dataDxfId="929" dataCellStyle="Normal 2"/>
    <tableColumn id="47" name="סה&quot;כ" dataDxfId="928" dataCellStyle="Normal 2">
      <calculatedColumnFormula>SUM(טבלה8[[#This Row],[1]:[156]])</calculatedColumnFormula>
    </tableColumn>
    <tableColumn id="46" name="הזמנה" dataDxfId="927" dataCellStyle="Normal 2">
      <calculatedColumnFormula>SUM(M9:FL9)</calculatedColumnFormula>
    </tableColumn>
    <tableColumn id="49" name="0" dataDxfId="926" dataCellStyle="Normal 2">
      <calculatedColumnFormula>טבלה8[[#This Row],[מוצר]]</calculatedColumnFormula>
    </tableColumn>
    <tableColumn id="175" name="תוספת" dataDxfId="925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table" Target="../tables/table1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.xml"/><Relationship Id="rId11" Type="http://schemas.openxmlformats.org/officeDocument/2006/relationships/table" Target="../tables/table18.xml"/><Relationship Id="rId5" Type="http://schemas.openxmlformats.org/officeDocument/2006/relationships/image" Target="../media/image1.emf"/><Relationship Id="rId10" Type="http://schemas.openxmlformats.org/officeDocument/2006/relationships/table" Target="../tables/table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table" Target="../tables/table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5.xml"/><Relationship Id="rId11" Type="http://schemas.openxmlformats.org/officeDocument/2006/relationships/table" Target="../tables/table21.xml"/><Relationship Id="rId5" Type="http://schemas.openxmlformats.org/officeDocument/2006/relationships/image" Target="../media/image4.emf"/><Relationship Id="rId10" Type="http://schemas.openxmlformats.org/officeDocument/2006/relationships/table" Target="../tables/table20.xml"/><Relationship Id="rId4" Type="http://schemas.openxmlformats.org/officeDocument/2006/relationships/control" Target="../activeX/activeX4.xml"/><Relationship Id="rId9" Type="http://schemas.openxmlformats.org/officeDocument/2006/relationships/image" Target="../media/image6.emf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4.xml"/><Relationship Id="rId3" Type="http://schemas.openxmlformats.org/officeDocument/2006/relationships/table" Target="../tables/table29.xml"/><Relationship Id="rId7" Type="http://schemas.openxmlformats.org/officeDocument/2006/relationships/table" Target="../tables/table33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32.xml"/><Relationship Id="rId5" Type="http://schemas.openxmlformats.org/officeDocument/2006/relationships/table" Target="../tables/table31.xml"/><Relationship Id="rId4" Type="http://schemas.openxmlformats.org/officeDocument/2006/relationships/table" Target="../tables/table30.xml"/><Relationship Id="rId9" Type="http://schemas.openxmlformats.org/officeDocument/2006/relationships/table" Target="../tables/table3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/Users/log/Desktop/&#1502;&#1495;&#1513;&#1489;&#1493;&#1503;%20&#1492;&#1499;&#1504;&#1492;%20&#1495;&#1504;&#1493;&#1499;&#1492;.xlsm" TargetMode="External"/><Relationship Id="rId4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rightToLeft="1" tabSelected="1" workbookViewId="0"/>
  </sheetViews>
  <sheetFormatPr defaultColWidth="9" defaultRowHeight="14.4"/>
  <cols>
    <col min="1" max="1" width="9" style="628"/>
    <col min="2" max="2" width="12.59765625" style="628" bestFit="1" customWidth="1"/>
    <col min="3" max="3" width="16" style="628" bestFit="1" customWidth="1"/>
    <col min="4" max="4" width="9.8984375" style="628" bestFit="1" customWidth="1"/>
    <col min="5" max="5" width="9" style="628" customWidth="1"/>
    <col min="6" max="16384" width="9" style="628"/>
  </cols>
  <sheetData>
    <row r="2" spans="2:8">
      <c r="B2" s="637" t="s">
        <v>1007</v>
      </c>
    </row>
    <row r="3" spans="2:8">
      <c r="B3" s="637"/>
    </row>
    <row r="4" spans="2:8">
      <c r="B4" s="637" t="s">
        <v>1008</v>
      </c>
    </row>
    <row r="6" spans="2:8">
      <c r="B6" s="636" t="s">
        <v>1005</v>
      </c>
      <c r="C6" s="636" t="s">
        <v>996</v>
      </c>
    </row>
    <row r="7" spans="2:8">
      <c r="B7" s="635"/>
      <c r="C7" s="635"/>
      <c r="F7" s="411"/>
      <c r="G7" s="647"/>
      <c r="H7" s="411"/>
    </row>
    <row r="8" spans="2:8">
      <c r="B8" s="636" t="s">
        <v>997</v>
      </c>
      <c r="C8" s="636" t="s">
        <v>1006</v>
      </c>
      <c r="F8" s="411"/>
      <c r="G8" s="647"/>
      <c r="H8" s="411"/>
    </row>
    <row r="9" spans="2:8">
      <c r="B9" s="635"/>
      <c r="C9" s="635"/>
      <c r="F9" s="411"/>
      <c r="G9" s="647"/>
      <c r="H9" s="411"/>
    </row>
    <row r="10" spans="2:8">
      <c r="B10" s="636" t="s">
        <v>995</v>
      </c>
      <c r="C10" s="636" t="s">
        <v>1004</v>
      </c>
      <c r="D10" s="629"/>
      <c r="F10" s="411"/>
      <c r="G10" s="647"/>
      <c r="H10" s="411"/>
    </row>
    <row r="11" spans="2:8">
      <c r="B11" s="635"/>
      <c r="C11" s="635"/>
      <c r="D11" s="629"/>
      <c r="F11" s="411"/>
      <c r="G11" s="647"/>
      <c r="H11" s="411"/>
    </row>
    <row r="12" spans="2:8">
      <c r="B12" s="636" t="s">
        <v>176</v>
      </c>
      <c r="C12" s="636" t="s">
        <v>1003</v>
      </c>
      <c r="D12" s="629"/>
      <c r="F12" s="411"/>
      <c r="G12" s="647"/>
      <c r="H12" s="411"/>
    </row>
    <row r="13" spans="2:8">
      <c r="B13" s="635"/>
      <c r="C13" s="635"/>
      <c r="D13" s="629"/>
      <c r="F13" s="411"/>
      <c r="G13" s="647"/>
      <c r="H13" s="411"/>
    </row>
    <row r="14" spans="2:8">
      <c r="B14" s="636" t="s">
        <v>177</v>
      </c>
      <c r="C14" s="636" t="s">
        <v>1003</v>
      </c>
      <c r="D14" s="629"/>
      <c r="F14" s="411"/>
      <c r="G14" s="647"/>
      <c r="H14" s="411"/>
    </row>
    <row r="15" spans="2:8">
      <c r="B15" s="635"/>
      <c r="C15" s="635"/>
      <c r="F15" s="411"/>
      <c r="G15" s="647"/>
      <c r="H15" s="411"/>
    </row>
    <row r="16" spans="2:8">
      <c r="B16" s="636" t="s">
        <v>998</v>
      </c>
      <c r="C16" s="636" t="s">
        <v>999</v>
      </c>
      <c r="F16" s="411"/>
      <c r="G16" s="647"/>
      <c r="H16" s="411"/>
    </row>
    <row r="17" spans="2:8">
      <c r="B17" s="635"/>
      <c r="C17" s="635"/>
      <c r="F17" s="411"/>
      <c r="G17" s="647"/>
      <c r="H17" s="411"/>
    </row>
    <row r="18" spans="2:8">
      <c r="B18" s="636" t="s">
        <v>1000</v>
      </c>
      <c r="C18" s="636" t="s">
        <v>1001</v>
      </c>
      <c r="F18" s="411"/>
      <c r="G18" s="647"/>
      <c r="H18" s="411"/>
    </row>
    <row r="19" spans="2:8">
      <c r="B19" s="635"/>
      <c r="C19" s="635"/>
      <c r="D19" s="629"/>
      <c r="F19" s="411"/>
      <c r="G19" s="647"/>
      <c r="H19" s="411"/>
    </row>
    <row r="20" spans="2:8">
      <c r="B20" s="636" t="s">
        <v>1002</v>
      </c>
      <c r="C20" s="636" t="s">
        <v>616</v>
      </c>
      <c r="F20" s="411"/>
      <c r="G20" s="647"/>
      <c r="H20" s="411"/>
    </row>
    <row r="21" spans="2:8">
      <c r="B21" s="635"/>
      <c r="C21" s="635"/>
      <c r="F21" s="411"/>
      <c r="G21" s="647"/>
      <c r="H21" s="411"/>
    </row>
    <row r="22" spans="2:8">
      <c r="F22" s="411"/>
      <c r="G22" s="647"/>
      <c r="H22" s="411"/>
    </row>
    <row r="25" spans="2:8">
      <c r="D25" s="629"/>
    </row>
    <row r="31" spans="2:8">
      <c r="D31" s="62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ule______11">
    <pageSetUpPr fitToPage="1"/>
  </sheetPr>
  <dimension ref="A1:BM252"/>
  <sheetViews>
    <sheetView rightToLeft="1" zoomScaleNormal="100" workbookViewId="0">
      <selection activeCell="G24" sqref="G24"/>
    </sheetView>
  </sheetViews>
  <sheetFormatPr defaultColWidth="9" defaultRowHeight="14.4"/>
  <cols>
    <col min="1" max="1" width="15" style="518" customWidth="1"/>
    <col min="2" max="2" width="8.59765625" style="518" customWidth="1"/>
    <col min="3" max="3" width="22.8984375" style="518" bestFit="1" customWidth="1"/>
    <col min="4" max="4" width="17.19921875" style="518" bestFit="1" customWidth="1"/>
    <col min="5" max="5" width="3.09765625" style="518" customWidth="1"/>
    <col min="6" max="6" width="10.69921875" style="522" customWidth="1"/>
    <col min="7" max="7" width="8.69921875" style="517" customWidth="1"/>
    <col min="8" max="8" width="8.69921875" style="519" customWidth="1"/>
    <col min="9" max="56" width="8.69921875" style="533" customWidth="1"/>
    <col min="57" max="58" width="9.59765625" style="540" customWidth="1"/>
    <col min="59" max="59" width="14.59765625" style="533" customWidth="1"/>
    <col min="60" max="60" width="9" style="531"/>
    <col min="61" max="61" width="9.8984375" style="532" customWidth="1"/>
    <col min="62" max="62" width="9" style="533"/>
    <col min="63" max="64" width="11.19921875" style="533" customWidth="1"/>
    <col min="65" max="16384" width="9" style="533"/>
  </cols>
  <sheetData>
    <row r="1" spans="1:64" ht="75.75" customHeight="1">
      <c r="C1" s="526"/>
      <c r="D1" s="774" t="s">
        <v>909</v>
      </c>
      <c r="E1" s="774"/>
      <c r="F1" s="542">
        <v>1</v>
      </c>
      <c r="G1" s="542">
        <v>2</v>
      </c>
      <c r="H1" s="542">
        <v>3</v>
      </c>
      <c r="I1" s="542">
        <v>4</v>
      </c>
      <c r="J1" s="542">
        <v>5</v>
      </c>
      <c r="K1" s="542">
        <v>6</v>
      </c>
      <c r="L1" s="542">
        <v>7</v>
      </c>
      <c r="M1" s="542">
        <v>8</v>
      </c>
      <c r="N1" s="542">
        <v>9</v>
      </c>
      <c r="O1" s="542">
        <v>10</v>
      </c>
      <c r="P1" s="542">
        <v>11</v>
      </c>
      <c r="Q1" s="542">
        <v>12</v>
      </c>
      <c r="R1" s="542">
        <v>13</v>
      </c>
      <c r="S1" s="542">
        <v>14</v>
      </c>
      <c r="T1" s="542">
        <v>15</v>
      </c>
      <c r="U1" s="542">
        <v>16</v>
      </c>
      <c r="V1" s="542">
        <v>17</v>
      </c>
      <c r="W1" s="542">
        <v>18</v>
      </c>
      <c r="X1" s="542">
        <v>19</v>
      </c>
      <c r="Y1" s="542">
        <v>20</v>
      </c>
      <c r="Z1" s="542">
        <v>21</v>
      </c>
      <c r="AA1" s="542">
        <v>22</v>
      </c>
      <c r="AB1" s="542">
        <v>23</v>
      </c>
      <c r="AC1" s="542">
        <v>24</v>
      </c>
      <c r="AD1" s="542">
        <v>25</v>
      </c>
      <c r="AE1" s="542">
        <v>26</v>
      </c>
      <c r="AF1" s="542">
        <v>27</v>
      </c>
      <c r="AG1" s="542">
        <v>28</v>
      </c>
      <c r="AH1" s="542">
        <v>29</v>
      </c>
      <c r="AI1" s="542">
        <v>30</v>
      </c>
      <c r="AJ1" s="542">
        <v>31</v>
      </c>
      <c r="AK1" s="542">
        <v>32</v>
      </c>
      <c r="AL1" s="542">
        <v>33</v>
      </c>
      <c r="AM1" s="542">
        <v>34</v>
      </c>
      <c r="AN1" s="542">
        <v>35</v>
      </c>
      <c r="AO1" s="542">
        <v>36</v>
      </c>
      <c r="AP1" s="542">
        <v>37</v>
      </c>
      <c r="AQ1" s="542">
        <v>38</v>
      </c>
      <c r="AR1" s="542">
        <v>39</v>
      </c>
      <c r="AS1" s="542">
        <v>40</v>
      </c>
      <c r="AT1" s="542">
        <v>41</v>
      </c>
      <c r="AU1" s="542">
        <v>42</v>
      </c>
      <c r="AV1" s="542">
        <v>43</v>
      </c>
      <c r="AW1" s="542">
        <v>44</v>
      </c>
      <c r="AX1" s="542">
        <v>45</v>
      </c>
      <c r="AY1" s="542">
        <v>46</v>
      </c>
      <c r="AZ1" s="542">
        <v>47</v>
      </c>
      <c r="BA1" s="542">
        <v>48</v>
      </c>
      <c r="BB1" s="542">
        <v>49</v>
      </c>
      <c r="BC1" s="542">
        <v>50</v>
      </c>
      <c r="BD1" s="542">
        <v>51</v>
      </c>
      <c r="BE1" s="541" t="s">
        <v>22</v>
      </c>
      <c r="BF1" s="541"/>
      <c r="BG1" s="773"/>
    </row>
    <row r="2" spans="1:64" ht="15" customHeight="1">
      <c r="C2" s="526"/>
      <c r="D2" s="775" t="s">
        <v>444</v>
      </c>
      <c r="E2" s="776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44">
        <f>SUM(G2:BC2)</f>
        <v>0</v>
      </c>
      <c r="BF2" s="544"/>
      <c r="BG2" s="773"/>
    </row>
    <row r="3" spans="1:64" ht="15" customHeight="1">
      <c r="C3" s="526"/>
      <c r="D3" s="775" t="s">
        <v>506</v>
      </c>
      <c r="E3" s="776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44">
        <f>SUM(G3:BD3)</f>
        <v>0</v>
      </c>
      <c r="BF3" s="544"/>
      <c r="BG3" s="773"/>
    </row>
    <row r="4" spans="1:64" ht="15" customHeight="1">
      <c r="C4" s="526"/>
      <c r="D4" s="775" t="s">
        <v>173</v>
      </c>
      <c r="E4" s="776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1"/>
      <c r="BE4" s="544">
        <f>SUM(G4:BD4)</f>
        <v>0</v>
      </c>
      <c r="BF4" s="544"/>
      <c r="BG4" s="773"/>
    </row>
    <row r="5" spans="1:64" ht="15" customHeight="1">
      <c r="A5" s="526"/>
      <c r="B5" s="526"/>
      <c r="C5" s="526"/>
      <c r="D5" s="775" t="s">
        <v>77</v>
      </c>
      <c r="E5" s="776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44">
        <f>SUM(G5:BD5)</f>
        <v>0</v>
      </c>
      <c r="BF5" s="544"/>
      <c r="BG5" s="773"/>
    </row>
    <row r="6" spans="1:64">
      <c r="A6" s="518" t="s">
        <v>172</v>
      </c>
      <c r="B6" s="518" t="s">
        <v>179</v>
      </c>
      <c r="C6" s="526" t="s">
        <v>171</v>
      </c>
      <c r="D6" s="527" t="s">
        <v>10</v>
      </c>
      <c r="E6" s="527" t="s">
        <v>488</v>
      </c>
      <c r="F6" s="525" t="s">
        <v>634</v>
      </c>
      <c r="G6" s="528" t="s">
        <v>635</v>
      </c>
      <c r="H6" s="528" t="s">
        <v>636</v>
      </c>
      <c r="I6" s="528" t="s">
        <v>637</v>
      </c>
      <c r="J6" s="529" t="s">
        <v>638</v>
      </c>
      <c r="K6" s="528" t="s">
        <v>639</v>
      </c>
      <c r="L6" s="528" t="s">
        <v>640</v>
      </c>
      <c r="M6" s="528" t="s">
        <v>641</v>
      </c>
      <c r="N6" s="528" t="s">
        <v>642</v>
      </c>
      <c r="O6" s="529" t="s">
        <v>643</v>
      </c>
      <c r="P6" s="528" t="s">
        <v>644</v>
      </c>
      <c r="Q6" s="528" t="s">
        <v>645</v>
      </c>
      <c r="R6" s="528" t="s">
        <v>646</v>
      </c>
      <c r="S6" s="528" t="s">
        <v>647</v>
      </c>
      <c r="T6" s="529" t="s">
        <v>648</v>
      </c>
      <c r="U6" s="528" t="s">
        <v>649</v>
      </c>
      <c r="V6" s="528" t="s">
        <v>650</v>
      </c>
      <c r="W6" s="528" t="s">
        <v>651</v>
      </c>
      <c r="X6" s="528" t="s">
        <v>652</v>
      </c>
      <c r="Y6" s="529" t="s">
        <v>653</v>
      </c>
      <c r="Z6" s="528" t="s">
        <v>654</v>
      </c>
      <c r="AA6" s="528" t="s">
        <v>655</v>
      </c>
      <c r="AB6" s="528" t="s">
        <v>656</v>
      </c>
      <c r="AC6" s="528" t="s">
        <v>657</v>
      </c>
      <c r="AD6" s="529" t="s">
        <v>658</v>
      </c>
      <c r="AE6" s="528" t="s">
        <v>659</v>
      </c>
      <c r="AF6" s="528" t="s">
        <v>660</v>
      </c>
      <c r="AG6" s="528" t="s">
        <v>661</v>
      </c>
      <c r="AH6" s="528" t="s">
        <v>662</v>
      </c>
      <c r="AI6" s="529" t="s">
        <v>698</v>
      </c>
      <c r="AJ6" s="528" t="s">
        <v>663</v>
      </c>
      <c r="AK6" s="528" t="s">
        <v>664</v>
      </c>
      <c r="AL6" s="528" t="s">
        <v>665</v>
      </c>
      <c r="AM6" s="528" t="s">
        <v>666</v>
      </c>
      <c r="AN6" s="529" t="s">
        <v>699</v>
      </c>
      <c r="AO6" s="528" t="s">
        <v>749</v>
      </c>
      <c r="AP6" s="528" t="s">
        <v>750</v>
      </c>
      <c r="AQ6" s="528" t="s">
        <v>751</v>
      </c>
      <c r="AR6" s="528" t="s">
        <v>752</v>
      </c>
      <c r="AS6" s="529" t="s">
        <v>753</v>
      </c>
      <c r="AT6" s="528" t="s">
        <v>754</v>
      </c>
      <c r="AU6" s="528" t="s">
        <v>755</v>
      </c>
      <c r="AV6" s="528" t="s">
        <v>748</v>
      </c>
      <c r="AW6" s="528" t="s">
        <v>756</v>
      </c>
      <c r="AX6" s="529" t="s">
        <v>757</v>
      </c>
      <c r="AY6" s="528" t="s">
        <v>758</v>
      </c>
      <c r="AZ6" s="528" t="s">
        <v>759</v>
      </c>
      <c r="BA6" s="528" t="s">
        <v>760</v>
      </c>
      <c r="BB6" s="528" t="s">
        <v>761</v>
      </c>
      <c r="BC6" s="529" t="s">
        <v>762</v>
      </c>
      <c r="BD6" s="528" t="s">
        <v>763</v>
      </c>
      <c r="BE6" s="528" t="s">
        <v>22</v>
      </c>
      <c r="BF6" s="528" t="s">
        <v>667</v>
      </c>
      <c r="BG6" s="577" t="s">
        <v>922</v>
      </c>
      <c r="BH6" s="578" t="s">
        <v>923</v>
      </c>
      <c r="BI6" s="537"/>
      <c r="BJ6" s="535"/>
      <c r="BK6" s="535"/>
      <c r="BL6" s="535"/>
    </row>
    <row r="7" spans="1:64">
      <c r="A7" s="518" t="s">
        <v>887</v>
      </c>
      <c r="B7" s="518">
        <v>6607</v>
      </c>
      <c r="C7" s="518" t="s">
        <v>27</v>
      </c>
      <c r="D7" s="520" t="s">
        <v>888</v>
      </c>
      <c r="E7" s="520"/>
      <c r="F7" s="521">
        <f>1/4</f>
        <v>0.25</v>
      </c>
      <c r="G7" s="517">
        <f>ROUNDUP($F7*G$2,0)</f>
        <v>0</v>
      </c>
      <c r="H7" s="517">
        <f t="shared" ref="H7:BD7" si="0">ROUNDUP($F7*H$2,0)</f>
        <v>0</v>
      </c>
      <c r="I7" s="517">
        <f t="shared" si="0"/>
        <v>0</v>
      </c>
      <c r="J7" s="517">
        <f t="shared" si="0"/>
        <v>0</v>
      </c>
      <c r="K7" s="517">
        <f t="shared" si="0"/>
        <v>0</v>
      </c>
      <c r="L7" s="517">
        <f t="shared" si="0"/>
        <v>0</v>
      </c>
      <c r="M7" s="517">
        <f t="shared" si="0"/>
        <v>0</v>
      </c>
      <c r="N7" s="517">
        <f t="shared" si="0"/>
        <v>0</v>
      </c>
      <c r="O7" s="517">
        <f t="shared" si="0"/>
        <v>0</v>
      </c>
      <c r="P7" s="517">
        <f t="shared" si="0"/>
        <v>0</v>
      </c>
      <c r="Q7" s="517">
        <f t="shared" si="0"/>
        <v>0</v>
      </c>
      <c r="R7" s="517">
        <f t="shared" si="0"/>
        <v>0</v>
      </c>
      <c r="S7" s="517">
        <f t="shared" si="0"/>
        <v>0</v>
      </c>
      <c r="T7" s="517">
        <f t="shared" si="0"/>
        <v>0</v>
      </c>
      <c r="U7" s="517">
        <f t="shared" si="0"/>
        <v>0</v>
      </c>
      <c r="V7" s="517">
        <f t="shared" si="0"/>
        <v>0</v>
      </c>
      <c r="W7" s="517">
        <f t="shared" si="0"/>
        <v>0</v>
      </c>
      <c r="X7" s="517">
        <f t="shared" si="0"/>
        <v>0</v>
      </c>
      <c r="Y7" s="517">
        <f t="shared" si="0"/>
        <v>0</v>
      </c>
      <c r="Z7" s="517">
        <f t="shared" si="0"/>
        <v>0</v>
      </c>
      <c r="AA7" s="517">
        <f t="shared" si="0"/>
        <v>0</v>
      </c>
      <c r="AB7" s="517">
        <f t="shared" si="0"/>
        <v>0</v>
      </c>
      <c r="AC7" s="517">
        <f t="shared" si="0"/>
        <v>0</v>
      </c>
      <c r="AD7" s="517">
        <f t="shared" si="0"/>
        <v>0</v>
      </c>
      <c r="AE7" s="517">
        <f t="shared" si="0"/>
        <v>0</v>
      </c>
      <c r="AF7" s="517">
        <f t="shared" si="0"/>
        <v>0</v>
      </c>
      <c r="AG7" s="517">
        <f t="shared" si="0"/>
        <v>0</v>
      </c>
      <c r="AH7" s="517">
        <f t="shared" si="0"/>
        <v>0</v>
      </c>
      <c r="AI7" s="517">
        <f t="shared" si="0"/>
        <v>0</v>
      </c>
      <c r="AJ7" s="517">
        <f t="shared" si="0"/>
        <v>0</v>
      </c>
      <c r="AK7" s="517">
        <f t="shared" si="0"/>
        <v>0</v>
      </c>
      <c r="AL7" s="517">
        <f t="shared" si="0"/>
        <v>0</v>
      </c>
      <c r="AM7" s="517">
        <f t="shared" si="0"/>
        <v>0</v>
      </c>
      <c r="AN7" s="517">
        <f t="shared" si="0"/>
        <v>0</v>
      </c>
      <c r="AO7" s="517">
        <f t="shared" si="0"/>
        <v>0</v>
      </c>
      <c r="AP7" s="517">
        <f t="shared" si="0"/>
        <v>0</v>
      </c>
      <c r="AQ7" s="517">
        <f t="shared" si="0"/>
        <v>0</v>
      </c>
      <c r="AR7" s="517">
        <f t="shared" si="0"/>
        <v>0</v>
      </c>
      <c r="AS7" s="517">
        <f t="shared" si="0"/>
        <v>0</v>
      </c>
      <c r="AT7" s="517">
        <f t="shared" si="0"/>
        <v>0</v>
      </c>
      <c r="AU7" s="517">
        <f t="shared" si="0"/>
        <v>0</v>
      </c>
      <c r="AV7" s="517">
        <f t="shared" si="0"/>
        <v>0</v>
      </c>
      <c r="AW7" s="517">
        <f t="shared" si="0"/>
        <v>0</v>
      </c>
      <c r="AX7" s="517">
        <f t="shared" si="0"/>
        <v>0</v>
      </c>
      <c r="AY7" s="517">
        <f t="shared" si="0"/>
        <v>0</v>
      </c>
      <c r="AZ7" s="517">
        <f t="shared" si="0"/>
        <v>0</v>
      </c>
      <c r="BA7" s="517">
        <f t="shared" si="0"/>
        <v>0</v>
      </c>
      <c r="BB7" s="517">
        <f t="shared" si="0"/>
        <v>0</v>
      </c>
      <c r="BC7" s="517">
        <f t="shared" si="0"/>
        <v>0</v>
      </c>
      <c r="BD7" s="517">
        <f t="shared" si="0"/>
        <v>0</v>
      </c>
      <c r="BE7" s="538">
        <f>SUM(טבלה33[[#This Row],[1]:[50]])</f>
        <v>0</v>
      </c>
      <c r="BF7" s="538">
        <f>ROUNDUP(טבלה33[[#This Row],[סה"כ]]+טבלה33[[#This Row],[סה"כ]]*טבלה33[[#This Row],[תוספת]],0)</f>
        <v>0</v>
      </c>
      <c r="BG7" s="576" t="str">
        <f>טבלה33[[#This Row],[פרודוקטים]]</f>
        <v>פסטה</v>
      </c>
      <c r="BH7" s="579"/>
      <c r="BJ7" s="531"/>
      <c r="BK7" s="531"/>
      <c r="BL7" s="531"/>
    </row>
    <row r="8" spans="1:64">
      <c r="A8" s="518" t="s">
        <v>887</v>
      </c>
      <c r="B8" s="518">
        <v>7900</v>
      </c>
      <c r="C8" s="518" t="s">
        <v>1167</v>
      </c>
      <c r="D8" s="520" t="s">
        <v>1168</v>
      </c>
      <c r="E8" s="520"/>
      <c r="F8" s="522">
        <v>165</v>
      </c>
      <c r="G8" s="517">
        <f>ROUNDUP($F8*(G$2-G$3),0)</f>
        <v>0</v>
      </c>
      <c r="H8" s="517">
        <f t="shared" ref="H8:BD8" si="1">ROUNDUP($F8*(H$2-H$3),0)</f>
        <v>0</v>
      </c>
      <c r="I8" s="517">
        <f t="shared" si="1"/>
        <v>0</v>
      </c>
      <c r="J8" s="517">
        <f t="shared" si="1"/>
        <v>0</v>
      </c>
      <c r="K8" s="517">
        <f t="shared" si="1"/>
        <v>0</v>
      </c>
      <c r="L8" s="517">
        <f t="shared" si="1"/>
        <v>0</v>
      </c>
      <c r="M8" s="517">
        <f t="shared" si="1"/>
        <v>0</v>
      </c>
      <c r="N8" s="517">
        <f t="shared" si="1"/>
        <v>0</v>
      </c>
      <c r="O8" s="517">
        <f t="shared" si="1"/>
        <v>0</v>
      </c>
      <c r="P8" s="517">
        <f t="shared" si="1"/>
        <v>0</v>
      </c>
      <c r="Q8" s="517">
        <f t="shared" si="1"/>
        <v>0</v>
      </c>
      <c r="R8" s="517">
        <f t="shared" si="1"/>
        <v>0</v>
      </c>
      <c r="S8" s="517">
        <f t="shared" si="1"/>
        <v>0</v>
      </c>
      <c r="T8" s="517">
        <f t="shared" si="1"/>
        <v>0</v>
      </c>
      <c r="U8" s="517">
        <f t="shared" si="1"/>
        <v>0</v>
      </c>
      <c r="V8" s="517">
        <f t="shared" si="1"/>
        <v>0</v>
      </c>
      <c r="W8" s="517">
        <f t="shared" si="1"/>
        <v>0</v>
      </c>
      <c r="X8" s="517">
        <f t="shared" si="1"/>
        <v>0</v>
      </c>
      <c r="Y8" s="517">
        <f t="shared" si="1"/>
        <v>0</v>
      </c>
      <c r="Z8" s="517">
        <f t="shared" si="1"/>
        <v>0</v>
      </c>
      <c r="AA8" s="517">
        <f t="shared" si="1"/>
        <v>0</v>
      </c>
      <c r="AB8" s="517">
        <f t="shared" si="1"/>
        <v>0</v>
      </c>
      <c r="AC8" s="517">
        <f t="shared" si="1"/>
        <v>0</v>
      </c>
      <c r="AD8" s="517">
        <f t="shared" si="1"/>
        <v>0</v>
      </c>
      <c r="AE8" s="517">
        <f t="shared" si="1"/>
        <v>0</v>
      </c>
      <c r="AF8" s="517">
        <f t="shared" si="1"/>
        <v>0</v>
      </c>
      <c r="AG8" s="517">
        <f t="shared" si="1"/>
        <v>0</v>
      </c>
      <c r="AH8" s="517">
        <f t="shared" si="1"/>
        <v>0</v>
      </c>
      <c r="AI8" s="517">
        <f t="shared" si="1"/>
        <v>0</v>
      </c>
      <c r="AJ8" s="517">
        <f t="shared" si="1"/>
        <v>0</v>
      </c>
      <c r="AK8" s="517">
        <f t="shared" si="1"/>
        <v>0</v>
      </c>
      <c r="AL8" s="517">
        <f t="shared" si="1"/>
        <v>0</v>
      </c>
      <c r="AM8" s="517">
        <f t="shared" si="1"/>
        <v>0</v>
      </c>
      <c r="AN8" s="517">
        <f t="shared" si="1"/>
        <v>0</v>
      </c>
      <c r="AO8" s="517">
        <f t="shared" si="1"/>
        <v>0</v>
      </c>
      <c r="AP8" s="517">
        <f t="shared" si="1"/>
        <v>0</v>
      </c>
      <c r="AQ8" s="517">
        <f t="shared" si="1"/>
        <v>0</v>
      </c>
      <c r="AR8" s="517">
        <f t="shared" si="1"/>
        <v>0</v>
      </c>
      <c r="AS8" s="517">
        <f t="shared" si="1"/>
        <v>0</v>
      </c>
      <c r="AT8" s="517">
        <f t="shared" si="1"/>
        <v>0</v>
      </c>
      <c r="AU8" s="517">
        <f t="shared" si="1"/>
        <v>0</v>
      </c>
      <c r="AV8" s="517">
        <f t="shared" si="1"/>
        <v>0</v>
      </c>
      <c r="AW8" s="517">
        <f t="shared" si="1"/>
        <v>0</v>
      </c>
      <c r="AX8" s="517">
        <f t="shared" si="1"/>
        <v>0</v>
      </c>
      <c r="AY8" s="517">
        <f t="shared" si="1"/>
        <v>0</v>
      </c>
      <c r="AZ8" s="517">
        <f t="shared" si="1"/>
        <v>0</v>
      </c>
      <c r="BA8" s="517">
        <f t="shared" si="1"/>
        <v>0</v>
      </c>
      <c r="BB8" s="517">
        <f t="shared" si="1"/>
        <v>0</v>
      </c>
      <c r="BC8" s="517">
        <f t="shared" si="1"/>
        <v>0</v>
      </c>
      <c r="BD8" s="517">
        <f t="shared" si="1"/>
        <v>0</v>
      </c>
      <c r="BE8" s="538">
        <f>SUM(טבלה33[[#This Row],[1]:[50]])</f>
        <v>0</v>
      </c>
      <c r="BF8" s="538">
        <f>CEILING(טבלה33[[#This Row],[סה"כ]]+טבלה33[[#This Row],[סה"כ]]*טבלה33[[#This Row],[תוספת]],10000)/1000</f>
        <v>0</v>
      </c>
      <c r="BG8" s="576" t="str">
        <f>טבלה33[[#This Row],[פרודוקטים]]</f>
        <v>המבורגר בקר</v>
      </c>
      <c r="BH8" s="579"/>
      <c r="BJ8" s="531"/>
      <c r="BK8" s="531"/>
      <c r="BL8" s="531"/>
    </row>
    <row r="9" spans="1:64">
      <c r="A9" s="518" t="s">
        <v>887</v>
      </c>
      <c r="B9" s="518">
        <v>3</v>
      </c>
      <c r="C9" s="518" t="s">
        <v>2</v>
      </c>
      <c r="D9" s="520" t="s">
        <v>681</v>
      </c>
      <c r="E9" s="520"/>
      <c r="F9" s="521">
        <f>1/4</f>
        <v>0.25</v>
      </c>
      <c r="G9" s="517">
        <f>ROUNDUP($F9*G$2,0)</f>
        <v>0</v>
      </c>
      <c r="H9" s="517">
        <f t="shared" ref="H9:BC14" si="2">ROUNDUP($F9*H$2,0)</f>
        <v>0</v>
      </c>
      <c r="I9" s="517">
        <f t="shared" si="2"/>
        <v>0</v>
      </c>
      <c r="J9" s="517">
        <f t="shared" si="2"/>
        <v>0</v>
      </c>
      <c r="K9" s="517">
        <f t="shared" si="2"/>
        <v>0</v>
      </c>
      <c r="L9" s="517">
        <f t="shared" si="2"/>
        <v>0</v>
      </c>
      <c r="M9" s="517">
        <f t="shared" si="2"/>
        <v>0</v>
      </c>
      <c r="N9" s="517">
        <f t="shared" si="2"/>
        <v>0</v>
      </c>
      <c r="O9" s="517">
        <f t="shared" si="2"/>
        <v>0</v>
      </c>
      <c r="P9" s="517">
        <f t="shared" si="2"/>
        <v>0</v>
      </c>
      <c r="Q9" s="517">
        <f t="shared" si="2"/>
        <v>0</v>
      </c>
      <c r="R9" s="517">
        <f t="shared" si="2"/>
        <v>0</v>
      </c>
      <c r="S9" s="517">
        <f t="shared" si="2"/>
        <v>0</v>
      </c>
      <c r="T9" s="517">
        <f t="shared" si="2"/>
        <v>0</v>
      </c>
      <c r="U9" s="517">
        <f t="shared" si="2"/>
        <v>0</v>
      </c>
      <c r="V9" s="517">
        <f t="shared" si="2"/>
        <v>0</v>
      </c>
      <c r="W9" s="517">
        <f t="shared" si="2"/>
        <v>0</v>
      </c>
      <c r="X9" s="517">
        <f t="shared" si="2"/>
        <v>0</v>
      </c>
      <c r="Y9" s="517">
        <f t="shared" si="2"/>
        <v>0</v>
      </c>
      <c r="Z9" s="517">
        <f t="shared" si="2"/>
        <v>0</v>
      </c>
      <c r="AA9" s="517">
        <f t="shared" si="2"/>
        <v>0</v>
      </c>
      <c r="AB9" s="517">
        <f t="shared" si="2"/>
        <v>0</v>
      </c>
      <c r="AC9" s="517">
        <f t="shared" si="2"/>
        <v>0</v>
      </c>
      <c r="AD9" s="517">
        <f t="shared" si="2"/>
        <v>0</v>
      </c>
      <c r="AE9" s="517">
        <f t="shared" si="2"/>
        <v>0</v>
      </c>
      <c r="AF9" s="517">
        <f t="shared" si="2"/>
        <v>0</v>
      </c>
      <c r="AG9" s="517">
        <f t="shared" si="2"/>
        <v>0</v>
      </c>
      <c r="AH9" s="517">
        <f t="shared" si="2"/>
        <v>0</v>
      </c>
      <c r="AI9" s="517">
        <f t="shared" si="2"/>
        <v>0</v>
      </c>
      <c r="AJ9" s="517">
        <f t="shared" si="2"/>
        <v>0</v>
      </c>
      <c r="AK9" s="517">
        <f t="shared" si="2"/>
        <v>0</v>
      </c>
      <c r="AL9" s="517">
        <f t="shared" si="2"/>
        <v>0</v>
      </c>
      <c r="AM9" s="517">
        <f t="shared" si="2"/>
        <v>0</v>
      </c>
      <c r="AN9" s="517">
        <f t="shared" si="2"/>
        <v>0</v>
      </c>
      <c r="AO9" s="517">
        <f t="shared" si="2"/>
        <v>0</v>
      </c>
      <c r="AP9" s="517">
        <f t="shared" si="2"/>
        <v>0</v>
      </c>
      <c r="AQ9" s="517">
        <f t="shared" si="2"/>
        <v>0</v>
      </c>
      <c r="AR9" s="517">
        <f t="shared" si="2"/>
        <v>0</v>
      </c>
      <c r="AS9" s="517">
        <f t="shared" si="2"/>
        <v>0</v>
      </c>
      <c r="AT9" s="517">
        <f t="shared" si="2"/>
        <v>0</v>
      </c>
      <c r="AU9" s="517">
        <f t="shared" si="2"/>
        <v>0</v>
      </c>
      <c r="AV9" s="517">
        <f t="shared" si="2"/>
        <v>0</v>
      </c>
      <c r="AW9" s="517">
        <f t="shared" si="2"/>
        <v>0</v>
      </c>
      <c r="AX9" s="517">
        <f t="shared" si="2"/>
        <v>0</v>
      </c>
      <c r="AY9" s="517">
        <f t="shared" si="2"/>
        <v>0</v>
      </c>
      <c r="AZ9" s="517">
        <f t="shared" si="2"/>
        <v>0</v>
      </c>
      <c r="BA9" s="517">
        <f t="shared" si="2"/>
        <v>0</v>
      </c>
      <c r="BB9" s="517">
        <f t="shared" si="2"/>
        <v>0</v>
      </c>
      <c r="BC9" s="517">
        <f t="shared" si="2"/>
        <v>0</v>
      </c>
      <c r="BD9" s="517">
        <f t="shared" ref="BD9:BD13" si="3">ROUNDUP($F9*BD$2,0)</f>
        <v>0</v>
      </c>
      <c r="BE9" s="538">
        <f>SUM(טבלה33[[#This Row],[1]:[50]])</f>
        <v>0</v>
      </c>
      <c r="BF9" s="538">
        <f>ROUNDUP(טבלה33[[#This Row],[סה"כ]]/5+טבלה33[[#This Row],[סה"כ]]/5*טבלה33[[#This Row],[תוספת]],0)</f>
        <v>0</v>
      </c>
      <c r="BG9" s="576" t="str">
        <f>טבלה33[[#This Row],[פרודוקטים]]</f>
        <v>מלפפון</v>
      </c>
      <c r="BH9" s="579">
        <v>0</v>
      </c>
      <c r="BJ9" s="531"/>
      <c r="BK9" s="531"/>
      <c r="BL9" s="531"/>
    </row>
    <row r="10" spans="1:64">
      <c r="A10" s="518" t="s">
        <v>887</v>
      </c>
      <c r="B10" s="518">
        <v>607</v>
      </c>
      <c r="C10" s="518" t="s">
        <v>3</v>
      </c>
      <c r="D10" s="550" t="s">
        <v>681</v>
      </c>
      <c r="E10" s="520"/>
      <c r="F10" s="521">
        <f>1/4</f>
        <v>0.25</v>
      </c>
      <c r="G10" s="517">
        <f t="shared" ref="G10:V12" si="4">ROUNDUP($F10*G$2,0)</f>
        <v>0</v>
      </c>
      <c r="H10" s="517">
        <f t="shared" si="4"/>
        <v>0</v>
      </c>
      <c r="I10" s="517">
        <f t="shared" si="4"/>
        <v>0</v>
      </c>
      <c r="J10" s="517">
        <f t="shared" si="4"/>
        <v>0</v>
      </c>
      <c r="K10" s="517">
        <f t="shared" si="4"/>
        <v>0</v>
      </c>
      <c r="L10" s="517">
        <f t="shared" si="4"/>
        <v>0</v>
      </c>
      <c r="M10" s="517">
        <f t="shared" si="4"/>
        <v>0</v>
      </c>
      <c r="N10" s="517">
        <f t="shared" si="4"/>
        <v>0</v>
      </c>
      <c r="O10" s="517">
        <f t="shared" si="4"/>
        <v>0</v>
      </c>
      <c r="P10" s="517">
        <f t="shared" si="4"/>
        <v>0</v>
      </c>
      <c r="Q10" s="517">
        <f t="shared" si="4"/>
        <v>0</v>
      </c>
      <c r="R10" s="517">
        <f t="shared" si="4"/>
        <v>0</v>
      </c>
      <c r="S10" s="517">
        <f t="shared" si="4"/>
        <v>0</v>
      </c>
      <c r="T10" s="517">
        <f t="shared" si="4"/>
        <v>0</v>
      </c>
      <c r="U10" s="517">
        <f t="shared" si="4"/>
        <v>0</v>
      </c>
      <c r="V10" s="517">
        <f t="shared" si="4"/>
        <v>0</v>
      </c>
      <c r="W10" s="517">
        <f t="shared" si="2"/>
        <v>0</v>
      </c>
      <c r="X10" s="517">
        <f t="shared" si="2"/>
        <v>0</v>
      </c>
      <c r="Y10" s="517">
        <f t="shared" si="2"/>
        <v>0</v>
      </c>
      <c r="Z10" s="517">
        <f t="shared" si="2"/>
        <v>0</v>
      </c>
      <c r="AA10" s="517">
        <f t="shared" si="2"/>
        <v>0</v>
      </c>
      <c r="AB10" s="517">
        <f t="shared" si="2"/>
        <v>0</v>
      </c>
      <c r="AC10" s="517">
        <f t="shared" si="2"/>
        <v>0</v>
      </c>
      <c r="AD10" s="517">
        <f t="shared" si="2"/>
        <v>0</v>
      </c>
      <c r="AE10" s="517">
        <f t="shared" si="2"/>
        <v>0</v>
      </c>
      <c r="AF10" s="517">
        <f t="shared" si="2"/>
        <v>0</v>
      </c>
      <c r="AG10" s="517">
        <f t="shared" si="2"/>
        <v>0</v>
      </c>
      <c r="AH10" s="517">
        <f t="shared" si="2"/>
        <v>0</v>
      </c>
      <c r="AI10" s="517">
        <f t="shared" si="2"/>
        <v>0</v>
      </c>
      <c r="AJ10" s="517">
        <f t="shared" si="2"/>
        <v>0</v>
      </c>
      <c r="AK10" s="517">
        <f t="shared" si="2"/>
        <v>0</v>
      </c>
      <c r="AL10" s="517">
        <f t="shared" si="2"/>
        <v>0</v>
      </c>
      <c r="AM10" s="517">
        <f t="shared" si="2"/>
        <v>0</v>
      </c>
      <c r="AN10" s="517">
        <f t="shared" si="2"/>
        <v>0</v>
      </c>
      <c r="AO10" s="517">
        <f t="shared" si="2"/>
        <v>0</v>
      </c>
      <c r="AP10" s="517">
        <f t="shared" si="2"/>
        <v>0</v>
      </c>
      <c r="AQ10" s="517">
        <f t="shared" si="2"/>
        <v>0</v>
      </c>
      <c r="AR10" s="517">
        <f t="shared" si="2"/>
        <v>0</v>
      </c>
      <c r="AS10" s="517">
        <f t="shared" si="2"/>
        <v>0</v>
      </c>
      <c r="AT10" s="517">
        <f t="shared" si="2"/>
        <v>0</v>
      </c>
      <c r="AU10" s="517">
        <f t="shared" si="2"/>
        <v>0</v>
      </c>
      <c r="AV10" s="517">
        <f t="shared" si="2"/>
        <v>0</v>
      </c>
      <c r="AW10" s="517">
        <f t="shared" si="2"/>
        <v>0</v>
      </c>
      <c r="AX10" s="517">
        <f t="shared" si="2"/>
        <v>0</v>
      </c>
      <c r="AY10" s="517">
        <f t="shared" si="2"/>
        <v>0</v>
      </c>
      <c r="AZ10" s="517">
        <f t="shared" si="2"/>
        <v>0</v>
      </c>
      <c r="BA10" s="517">
        <f t="shared" si="2"/>
        <v>0</v>
      </c>
      <c r="BB10" s="517">
        <f t="shared" si="2"/>
        <v>0</v>
      </c>
      <c r="BC10" s="517">
        <f t="shared" si="2"/>
        <v>0</v>
      </c>
      <c r="BD10" s="517">
        <f t="shared" si="3"/>
        <v>0</v>
      </c>
      <c r="BE10" s="538">
        <f>SUM(טבלה33[[#This Row],[1]:[50]])</f>
        <v>0</v>
      </c>
      <c r="BF10" s="538">
        <f>ROUNDUP(טבלה33[[#This Row],[סה"כ]]/7+טבלה33[[#This Row],[סה"כ]]/7*טבלה33[[#This Row],[תוספת]],0)</f>
        <v>0</v>
      </c>
      <c r="BG10" s="576" t="str">
        <f>טבלה33[[#This Row],[פרודוקטים]]</f>
        <v>עגבניה</v>
      </c>
      <c r="BH10" s="579">
        <v>0</v>
      </c>
      <c r="BJ10" s="531"/>
      <c r="BK10" s="531"/>
      <c r="BL10" s="531"/>
    </row>
    <row r="11" spans="1:64">
      <c r="A11" s="518" t="s">
        <v>887</v>
      </c>
      <c r="B11" s="518">
        <v>157</v>
      </c>
      <c r="C11" s="518" t="s">
        <v>21</v>
      </c>
      <c r="D11" s="520" t="s">
        <v>890</v>
      </c>
      <c r="E11" s="520"/>
      <c r="F11" s="523">
        <f>1/10</f>
        <v>0.1</v>
      </c>
      <c r="G11" s="517">
        <f t="shared" si="4"/>
        <v>0</v>
      </c>
      <c r="H11" s="517">
        <f t="shared" si="2"/>
        <v>0</v>
      </c>
      <c r="I11" s="517">
        <f t="shared" si="2"/>
        <v>0</v>
      </c>
      <c r="J11" s="517">
        <f t="shared" si="2"/>
        <v>0</v>
      </c>
      <c r="K11" s="517">
        <f t="shared" si="2"/>
        <v>0</v>
      </c>
      <c r="L11" s="517">
        <f t="shared" si="2"/>
        <v>0</v>
      </c>
      <c r="M11" s="517">
        <f t="shared" si="2"/>
        <v>0</v>
      </c>
      <c r="N11" s="517">
        <f t="shared" si="2"/>
        <v>0</v>
      </c>
      <c r="O11" s="517">
        <f t="shared" si="2"/>
        <v>0</v>
      </c>
      <c r="P11" s="517">
        <f t="shared" si="2"/>
        <v>0</v>
      </c>
      <c r="Q11" s="517">
        <f t="shared" si="2"/>
        <v>0</v>
      </c>
      <c r="R11" s="517">
        <f t="shared" si="2"/>
        <v>0</v>
      </c>
      <c r="S11" s="517">
        <f t="shared" si="2"/>
        <v>0</v>
      </c>
      <c r="T11" s="517">
        <f t="shared" si="2"/>
        <v>0</v>
      </c>
      <c r="U11" s="517">
        <f t="shared" si="2"/>
        <v>0</v>
      </c>
      <c r="V11" s="517">
        <f t="shared" si="2"/>
        <v>0</v>
      </c>
      <c r="W11" s="517">
        <f t="shared" si="2"/>
        <v>0</v>
      </c>
      <c r="X11" s="517">
        <f t="shared" si="2"/>
        <v>0</v>
      </c>
      <c r="Y11" s="517">
        <f t="shared" si="2"/>
        <v>0</v>
      </c>
      <c r="Z11" s="517">
        <f t="shared" si="2"/>
        <v>0</v>
      </c>
      <c r="AA11" s="517">
        <f t="shared" si="2"/>
        <v>0</v>
      </c>
      <c r="AB11" s="517">
        <f t="shared" si="2"/>
        <v>0</v>
      </c>
      <c r="AC11" s="517">
        <f t="shared" si="2"/>
        <v>0</v>
      </c>
      <c r="AD11" s="517">
        <f t="shared" si="2"/>
        <v>0</v>
      </c>
      <c r="AE11" s="517">
        <f t="shared" si="2"/>
        <v>0</v>
      </c>
      <c r="AF11" s="517">
        <f t="shared" si="2"/>
        <v>0</v>
      </c>
      <c r="AG11" s="517">
        <f t="shared" si="2"/>
        <v>0</v>
      </c>
      <c r="AH11" s="517">
        <f t="shared" si="2"/>
        <v>0</v>
      </c>
      <c r="AI11" s="517">
        <f t="shared" si="2"/>
        <v>0</v>
      </c>
      <c r="AJ11" s="517">
        <f t="shared" si="2"/>
        <v>0</v>
      </c>
      <c r="AK11" s="517">
        <f t="shared" si="2"/>
        <v>0</v>
      </c>
      <c r="AL11" s="517">
        <f t="shared" si="2"/>
        <v>0</v>
      </c>
      <c r="AM11" s="517">
        <f t="shared" si="2"/>
        <v>0</v>
      </c>
      <c r="AN11" s="517">
        <f t="shared" si="2"/>
        <v>0</v>
      </c>
      <c r="AO11" s="517">
        <f t="shared" si="2"/>
        <v>0</v>
      </c>
      <c r="AP11" s="517">
        <f t="shared" si="2"/>
        <v>0</v>
      </c>
      <c r="AQ11" s="517">
        <f t="shared" si="2"/>
        <v>0</v>
      </c>
      <c r="AR11" s="517">
        <f t="shared" si="2"/>
        <v>0</v>
      </c>
      <c r="AS11" s="517">
        <f t="shared" si="2"/>
        <v>0</v>
      </c>
      <c r="AT11" s="517">
        <f t="shared" si="2"/>
        <v>0</v>
      </c>
      <c r="AU11" s="517">
        <f t="shared" si="2"/>
        <v>0</v>
      </c>
      <c r="AV11" s="517">
        <f t="shared" si="2"/>
        <v>0</v>
      </c>
      <c r="AW11" s="517">
        <f t="shared" si="2"/>
        <v>0</v>
      </c>
      <c r="AX11" s="517">
        <f t="shared" si="2"/>
        <v>0</v>
      </c>
      <c r="AY11" s="517">
        <f t="shared" si="2"/>
        <v>0</v>
      </c>
      <c r="AZ11" s="517">
        <f t="shared" si="2"/>
        <v>0</v>
      </c>
      <c r="BA11" s="517">
        <f t="shared" si="2"/>
        <v>0</v>
      </c>
      <c r="BB11" s="517">
        <f t="shared" si="2"/>
        <v>0</v>
      </c>
      <c r="BC11" s="517">
        <f t="shared" si="2"/>
        <v>0</v>
      </c>
      <c r="BD11" s="517">
        <f t="shared" si="3"/>
        <v>0</v>
      </c>
      <c r="BE11" s="538">
        <f>SUM(טבלה33[[#This Row],[1]:[50]])</f>
        <v>0</v>
      </c>
      <c r="BF11" s="538">
        <f>ROUNDUP(טבלה33[[#This Row],[סה"כ]]/7+טבלה33[[#This Row],[סה"כ]]/7*טבלה33[[#This Row],[תוספת]],0)</f>
        <v>0</v>
      </c>
      <c r="BG11" s="576" t="str">
        <f>טבלה33[[#This Row],[פרודוקטים]]</f>
        <v>בצל</v>
      </c>
      <c r="BH11" s="579"/>
      <c r="BJ11" s="531"/>
      <c r="BK11" s="531"/>
      <c r="BL11" s="531"/>
    </row>
    <row r="12" spans="1:64">
      <c r="A12" s="518" t="s">
        <v>887</v>
      </c>
      <c r="B12" s="518">
        <v>6975</v>
      </c>
      <c r="C12" s="518" t="s">
        <v>41</v>
      </c>
      <c r="D12" s="530" t="s">
        <v>718</v>
      </c>
      <c r="E12" s="530"/>
      <c r="F12" s="523">
        <v>3.3333333333333333E-2</v>
      </c>
      <c r="G12" s="517">
        <f t="shared" si="4"/>
        <v>0</v>
      </c>
      <c r="H12" s="517">
        <f t="shared" si="2"/>
        <v>0</v>
      </c>
      <c r="I12" s="517">
        <f t="shared" si="2"/>
        <v>0</v>
      </c>
      <c r="J12" s="517">
        <f t="shared" si="2"/>
        <v>0</v>
      </c>
      <c r="K12" s="517">
        <f t="shared" si="2"/>
        <v>0</v>
      </c>
      <c r="L12" s="517">
        <f t="shared" si="2"/>
        <v>0</v>
      </c>
      <c r="M12" s="517">
        <f t="shared" si="2"/>
        <v>0</v>
      </c>
      <c r="N12" s="517">
        <f t="shared" si="2"/>
        <v>0</v>
      </c>
      <c r="O12" s="517">
        <f t="shared" si="2"/>
        <v>0</v>
      </c>
      <c r="P12" s="517">
        <f t="shared" si="2"/>
        <v>0</v>
      </c>
      <c r="Q12" s="517">
        <f t="shared" si="2"/>
        <v>0</v>
      </c>
      <c r="R12" s="517">
        <f t="shared" si="2"/>
        <v>0</v>
      </c>
      <c r="S12" s="517">
        <f t="shared" si="2"/>
        <v>0</v>
      </c>
      <c r="T12" s="517">
        <f t="shared" si="2"/>
        <v>0</v>
      </c>
      <c r="U12" s="517">
        <f t="shared" si="2"/>
        <v>0</v>
      </c>
      <c r="V12" s="517">
        <f t="shared" si="2"/>
        <v>0</v>
      </c>
      <c r="W12" s="517">
        <f t="shared" si="2"/>
        <v>0</v>
      </c>
      <c r="X12" s="517">
        <f t="shared" si="2"/>
        <v>0</v>
      </c>
      <c r="Y12" s="517">
        <f t="shared" si="2"/>
        <v>0</v>
      </c>
      <c r="Z12" s="517">
        <f t="shared" si="2"/>
        <v>0</v>
      </c>
      <c r="AA12" s="517">
        <f t="shared" si="2"/>
        <v>0</v>
      </c>
      <c r="AB12" s="517">
        <f t="shared" si="2"/>
        <v>0</v>
      </c>
      <c r="AC12" s="517">
        <f t="shared" si="2"/>
        <v>0</v>
      </c>
      <c r="AD12" s="517">
        <f t="shared" si="2"/>
        <v>0</v>
      </c>
      <c r="AE12" s="517">
        <f t="shared" si="2"/>
        <v>0</v>
      </c>
      <c r="AF12" s="517">
        <f t="shared" si="2"/>
        <v>0</v>
      </c>
      <c r="AG12" s="517">
        <f t="shared" si="2"/>
        <v>0</v>
      </c>
      <c r="AH12" s="517">
        <f t="shared" si="2"/>
        <v>0</v>
      </c>
      <c r="AI12" s="517">
        <f t="shared" si="2"/>
        <v>0</v>
      </c>
      <c r="AJ12" s="517">
        <f t="shared" si="2"/>
        <v>0</v>
      </c>
      <c r="AK12" s="517">
        <f t="shared" si="2"/>
        <v>0</v>
      </c>
      <c r="AL12" s="517">
        <f t="shared" si="2"/>
        <v>0</v>
      </c>
      <c r="AM12" s="517">
        <f t="shared" si="2"/>
        <v>0</v>
      </c>
      <c r="AN12" s="517">
        <f t="shared" si="2"/>
        <v>0</v>
      </c>
      <c r="AO12" s="517">
        <f t="shared" si="2"/>
        <v>0</v>
      </c>
      <c r="AP12" s="517">
        <f t="shared" si="2"/>
        <v>0</v>
      </c>
      <c r="AQ12" s="517">
        <f t="shared" si="2"/>
        <v>0</v>
      </c>
      <c r="AR12" s="517">
        <f t="shared" si="2"/>
        <v>0</v>
      </c>
      <c r="AS12" s="517">
        <f t="shared" si="2"/>
        <v>0</v>
      </c>
      <c r="AT12" s="517">
        <f t="shared" si="2"/>
        <v>0</v>
      </c>
      <c r="AU12" s="517">
        <f t="shared" si="2"/>
        <v>0</v>
      </c>
      <c r="AV12" s="517">
        <f t="shared" si="2"/>
        <v>0</v>
      </c>
      <c r="AW12" s="517">
        <f t="shared" si="2"/>
        <v>0</v>
      </c>
      <c r="AX12" s="517">
        <f t="shared" si="2"/>
        <v>0</v>
      </c>
      <c r="AY12" s="517">
        <f t="shared" si="2"/>
        <v>0</v>
      </c>
      <c r="AZ12" s="517">
        <f t="shared" si="2"/>
        <v>0</v>
      </c>
      <c r="BA12" s="517">
        <f t="shared" si="2"/>
        <v>0</v>
      </c>
      <c r="BB12" s="517">
        <f t="shared" si="2"/>
        <v>0</v>
      </c>
      <c r="BC12" s="517">
        <f t="shared" si="2"/>
        <v>0</v>
      </c>
      <c r="BD12" s="517">
        <f t="shared" si="3"/>
        <v>0</v>
      </c>
      <c r="BE12" s="538">
        <f>SUM(טבלה33[[#This Row],[1]:[50]])</f>
        <v>0</v>
      </c>
      <c r="BF12" s="538">
        <f>טבלה33[[#This Row],[סה"כ]]</f>
        <v>0</v>
      </c>
      <c r="BG12" s="576" t="str">
        <f>טבלה33[[#This Row],[פרודוקטים]]</f>
        <v>טחינה</v>
      </c>
      <c r="BH12" s="579"/>
      <c r="BJ12" s="531"/>
      <c r="BK12" s="531"/>
      <c r="BL12" s="531"/>
    </row>
    <row r="13" spans="1:64">
      <c r="A13" s="518" t="s">
        <v>887</v>
      </c>
      <c r="B13" s="518">
        <v>397</v>
      </c>
      <c r="C13" s="518" t="s">
        <v>719</v>
      </c>
      <c r="D13" s="530" t="s">
        <v>702</v>
      </c>
      <c r="E13" s="530"/>
      <c r="F13" s="523">
        <f>1/10</f>
        <v>0.1</v>
      </c>
      <c r="G13" s="517">
        <f>ROUNDUP($F13*G$2,0)</f>
        <v>0</v>
      </c>
      <c r="H13" s="517">
        <f t="shared" si="2"/>
        <v>0</v>
      </c>
      <c r="I13" s="517">
        <f t="shared" si="2"/>
        <v>0</v>
      </c>
      <c r="J13" s="517">
        <f t="shared" si="2"/>
        <v>0</v>
      </c>
      <c r="K13" s="517">
        <f t="shared" si="2"/>
        <v>0</v>
      </c>
      <c r="L13" s="517">
        <f t="shared" si="2"/>
        <v>0</v>
      </c>
      <c r="M13" s="517">
        <f t="shared" si="2"/>
        <v>0</v>
      </c>
      <c r="N13" s="517">
        <f t="shared" si="2"/>
        <v>0</v>
      </c>
      <c r="O13" s="517">
        <f t="shared" si="2"/>
        <v>0</v>
      </c>
      <c r="P13" s="517">
        <f t="shared" si="2"/>
        <v>0</v>
      </c>
      <c r="Q13" s="517">
        <f t="shared" si="2"/>
        <v>0</v>
      </c>
      <c r="R13" s="517">
        <f t="shared" si="2"/>
        <v>0</v>
      </c>
      <c r="S13" s="517">
        <f t="shared" si="2"/>
        <v>0</v>
      </c>
      <c r="T13" s="517">
        <f t="shared" si="2"/>
        <v>0</v>
      </c>
      <c r="U13" s="517">
        <f t="shared" si="2"/>
        <v>0</v>
      </c>
      <c r="V13" s="517">
        <f t="shared" si="2"/>
        <v>0</v>
      </c>
      <c r="W13" s="517">
        <f t="shared" si="2"/>
        <v>0</v>
      </c>
      <c r="X13" s="517">
        <f t="shared" si="2"/>
        <v>0</v>
      </c>
      <c r="Y13" s="517">
        <f t="shared" si="2"/>
        <v>0</v>
      </c>
      <c r="Z13" s="517">
        <f t="shared" si="2"/>
        <v>0</v>
      </c>
      <c r="AA13" s="517">
        <f t="shared" si="2"/>
        <v>0</v>
      </c>
      <c r="AB13" s="517">
        <f t="shared" si="2"/>
        <v>0</v>
      </c>
      <c r="AC13" s="517">
        <f t="shared" si="2"/>
        <v>0</v>
      </c>
      <c r="AD13" s="517">
        <f t="shared" si="2"/>
        <v>0</v>
      </c>
      <c r="AE13" s="517">
        <f t="shared" si="2"/>
        <v>0</v>
      </c>
      <c r="AF13" s="517">
        <f t="shared" si="2"/>
        <v>0</v>
      </c>
      <c r="AG13" s="517">
        <f t="shared" si="2"/>
        <v>0</v>
      </c>
      <c r="AH13" s="517">
        <f t="shared" si="2"/>
        <v>0</v>
      </c>
      <c r="AI13" s="517">
        <f t="shared" si="2"/>
        <v>0</v>
      </c>
      <c r="AJ13" s="517">
        <f t="shared" si="2"/>
        <v>0</v>
      </c>
      <c r="AK13" s="517">
        <f t="shared" si="2"/>
        <v>0</v>
      </c>
      <c r="AL13" s="517">
        <f t="shared" si="2"/>
        <v>0</v>
      </c>
      <c r="AM13" s="517">
        <f t="shared" si="2"/>
        <v>0</v>
      </c>
      <c r="AN13" s="517">
        <f t="shared" si="2"/>
        <v>0</v>
      </c>
      <c r="AO13" s="517">
        <f t="shared" si="2"/>
        <v>0</v>
      </c>
      <c r="AP13" s="517">
        <f t="shared" si="2"/>
        <v>0</v>
      </c>
      <c r="AQ13" s="517">
        <f t="shared" si="2"/>
        <v>0</v>
      </c>
      <c r="AR13" s="517">
        <f t="shared" si="2"/>
        <v>0</v>
      </c>
      <c r="AS13" s="517">
        <f t="shared" si="2"/>
        <v>0</v>
      </c>
      <c r="AT13" s="517">
        <f t="shared" si="2"/>
        <v>0</v>
      </c>
      <c r="AU13" s="517">
        <f t="shared" si="2"/>
        <v>0</v>
      </c>
      <c r="AV13" s="517">
        <f t="shared" si="2"/>
        <v>0</v>
      </c>
      <c r="AW13" s="517">
        <f t="shared" si="2"/>
        <v>0</v>
      </c>
      <c r="AX13" s="517">
        <f t="shared" si="2"/>
        <v>0</v>
      </c>
      <c r="AY13" s="517">
        <f t="shared" si="2"/>
        <v>0</v>
      </c>
      <c r="AZ13" s="517">
        <f t="shared" si="2"/>
        <v>0</v>
      </c>
      <c r="BA13" s="517">
        <f t="shared" si="2"/>
        <v>0</v>
      </c>
      <c r="BB13" s="517">
        <f t="shared" si="2"/>
        <v>0</v>
      </c>
      <c r="BC13" s="517">
        <f t="shared" si="2"/>
        <v>0</v>
      </c>
      <c r="BD13" s="517">
        <f t="shared" si="3"/>
        <v>0</v>
      </c>
      <c r="BE13" s="538">
        <f>SUM(טבלה33[[#This Row],[1]:[50]])</f>
        <v>0</v>
      </c>
      <c r="BF13" s="538">
        <f>ROUNDUP(טבלה33[[#This Row],[סה"כ]]/7+טבלה33[[#This Row],[סה"כ]]/7*טבלה33[[#This Row],[תוספת]],0)</f>
        <v>0</v>
      </c>
      <c r="BG13" s="576" t="str">
        <f>טבלה33[[#This Row],[פרודוקטים]]</f>
        <v>לימון טרי</v>
      </c>
      <c r="BH13" s="579"/>
      <c r="BJ13" s="531"/>
      <c r="BK13" s="531"/>
      <c r="BL13" s="531"/>
    </row>
    <row r="14" spans="1:64">
      <c r="A14" s="518" t="s">
        <v>887</v>
      </c>
      <c r="B14" s="518">
        <v>3094</v>
      </c>
      <c r="C14" s="518" t="s">
        <v>721</v>
      </c>
      <c r="D14" s="530" t="s">
        <v>718</v>
      </c>
      <c r="E14" s="530"/>
      <c r="F14" s="523">
        <v>3.3333333333333333E-2</v>
      </c>
      <c r="G14" s="517">
        <f>ROUNDUP($F14*G$2,0)</f>
        <v>0</v>
      </c>
      <c r="H14" s="517">
        <f t="shared" si="2"/>
        <v>0</v>
      </c>
      <c r="I14" s="517">
        <f t="shared" si="2"/>
        <v>0</v>
      </c>
      <c r="J14" s="517">
        <f t="shared" si="2"/>
        <v>0</v>
      </c>
      <c r="K14" s="517">
        <f t="shared" si="2"/>
        <v>0</v>
      </c>
      <c r="L14" s="517">
        <f t="shared" si="2"/>
        <v>0</v>
      </c>
      <c r="M14" s="517">
        <f t="shared" si="2"/>
        <v>0</v>
      </c>
      <c r="N14" s="517">
        <f t="shared" si="2"/>
        <v>0</v>
      </c>
      <c r="O14" s="517">
        <f t="shared" si="2"/>
        <v>0</v>
      </c>
      <c r="P14" s="517">
        <f t="shared" si="2"/>
        <v>0</v>
      </c>
      <c r="Q14" s="517">
        <f t="shared" si="2"/>
        <v>0</v>
      </c>
      <c r="R14" s="517">
        <f t="shared" si="2"/>
        <v>0</v>
      </c>
      <c r="S14" s="517">
        <f t="shared" si="2"/>
        <v>0</v>
      </c>
      <c r="T14" s="517">
        <f t="shared" si="2"/>
        <v>0</v>
      </c>
      <c r="U14" s="517">
        <f t="shared" si="2"/>
        <v>0</v>
      </c>
      <c r="V14" s="517">
        <f t="shared" si="2"/>
        <v>0</v>
      </c>
      <c r="W14" s="517">
        <f t="shared" si="2"/>
        <v>0</v>
      </c>
      <c r="X14" s="517">
        <f t="shared" si="2"/>
        <v>0</v>
      </c>
      <c r="Y14" s="517">
        <f t="shared" si="2"/>
        <v>0</v>
      </c>
      <c r="Z14" s="517">
        <f t="shared" si="2"/>
        <v>0</v>
      </c>
      <c r="AA14" s="517">
        <f t="shared" si="2"/>
        <v>0</v>
      </c>
      <c r="AB14" s="517">
        <f t="shared" si="2"/>
        <v>0</v>
      </c>
      <c r="AC14" s="517">
        <f t="shared" si="2"/>
        <v>0</v>
      </c>
      <c r="AD14" s="517">
        <f t="shared" si="2"/>
        <v>0</v>
      </c>
      <c r="AE14" s="517">
        <f t="shared" si="2"/>
        <v>0</v>
      </c>
      <c r="AF14" s="517">
        <f t="shared" si="2"/>
        <v>0</v>
      </c>
      <c r="AG14" s="517">
        <f t="shared" si="2"/>
        <v>0</v>
      </c>
      <c r="AH14" s="517">
        <f t="shared" si="2"/>
        <v>0</v>
      </c>
      <c r="AI14" s="517">
        <f t="shared" si="2"/>
        <v>0</v>
      </c>
      <c r="AJ14" s="517">
        <f t="shared" si="2"/>
        <v>0</v>
      </c>
      <c r="AK14" s="517">
        <f t="shared" si="2"/>
        <v>0</v>
      </c>
      <c r="AL14" s="517">
        <f t="shared" ref="AL14:BD15" si="5">ROUNDUP($F14*AL$2,0)</f>
        <v>0</v>
      </c>
      <c r="AM14" s="517">
        <f t="shared" si="5"/>
        <v>0</v>
      </c>
      <c r="AN14" s="517">
        <f t="shared" si="5"/>
        <v>0</v>
      </c>
      <c r="AO14" s="517">
        <f t="shared" si="5"/>
        <v>0</v>
      </c>
      <c r="AP14" s="517">
        <f t="shared" si="5"/>
        <v>0</v>
      </c>
      <c r="AQ14" s="517">
        <f t="shared" si="5"/>
        <v>0</v>
      </c>
      <c r="AR14" s="517">
        <f t="shared" si="5"/>
        <v>0</v>
      </c>
      <c r="AS14" s="517">
        <f t="shared" si="5"/>
        <v>0</v>
      </c>
      <c r="AT14" s="517">
        <f t="shared" si="5"/>
        <v>0</v>
      </c>
      <c r="AU14" s="517">
        <f t="shared" si="5"/>
        <v>0</v>
      </c>
      <c r="AV14" s="517">
        <f t="shared" si="5"/>
        <v>0</v>
      </c>
      <c r="AW14" s="517">
        <f t="shared" si="5"/>
        <v>0</v>
      </c>
      <c r="AX14" s="517">
        <f t="shared" si="5"/>
        <v>0</v>
      </c>
      <c r="AY14" s="517">
        <f t="shared" si="5"/>
        <v>0</v>
      </c>
      <c r="AZ14" s="517">
        <f t="shared" si="5"/>
        <v>0</v>
      </c>
      <c r="BA14" s="517">
        <f t="shared" si="5"/>
        <v>0</v>
      </c>
      <c r="BB14" s="517">
        <f t="shared" si="5"/>
        <v>0</v>
      </c>
      <c r="BC14" s="517">
        <f t="shared" si="5"/>
        <v>0</v>
      </c>
      <c r="BD14" s="517">
        <f t="shared" si="5"/>
        <v>0</v>
      </c>
      <c r="BE14" s="538">
        <f>SUM(טבלה33[[#This Row],[1]:[50]])</f>
        <v>0</v>
      </c>
      <c r="BF14" s="538">
        <f>טבלה33[[#This Row],[סה"כ]]</f>
        <v>0</v>
      </c>
      <c r="BG14" s="576" t="str">
        <f>טבלה33[[#This Row],[פרודוקטים]]</f>
        <v xml:space="preserve">רוטב עגבניות </v>
      </c>
      <c r="BH14" s="579"/>
      <c r="BJ14" s="531"/>
      <c r="BK14" s="531"/>
      <c r="BL14" s="531"/>
    </row>
    <row r="15" spans="1:64">
      <c r="A15" s="518" t="s">
        <v>887</v>
      </c>
      <c r="B15" s="518">
        <v>8455</v>
      </c>
      <c r="C15" s="518" t="s">
        <v>23</v>
      </c>
      <c r="D15" s="530" t="s">
        <v>720</v>
      </c>
      <c r="E15" s="530"/>
      <c r="F15" s="523">
        <v>7.1428571428571425E-2</v>
      </c>
      <c r="G15" s="517">
        <f>ROUNDUP($F15*G$2,0)</f>
        <v>0</v>
      </c>
      <c r="H15" s="517">
        <f t="shared" ref="H15:AK15" si="6">ROUNDUP($F15*H$2,0)</f>
        <v>0</v>
      </c>
      <c r="I15" s="517">
        <f t="shared" si="6"/>
        <v>0</v>
      </c>
      <c r="J15" s="517">
        <f t="shared" si="6"/>
        <v>0</v>
      </c>
      <c r="K15" s="517">
        <f t="shared" si="6"/>
        <v>0</v>
      </c>
      <c r="L15" s="517">
        <f t="shared" si="6"/>
        <v>0</v>
      </c>
      <c r="M15" s="517">
        <f t="shared" si="6"/>
        <v>0</v>
      </c>
      <c r="N15" s="517">
        <f t="shared" si="6"/>
        <v>0</v>
      </c>
      <c r="O15" s="517">
        <f t="shared" si="6"/>
        <v>0</v>
      </c>
      <c r="P15" s="517">
        <f t="shared" si="6"/>
        <v>0</v>
      </c>
      <c r="Q15" s="517">
        <f t="shared" si="6"/>
        <v>0</v>
      </c>
      <c r="R15" s="517">
        <f t="shared" si="6"/>
        <v>0</v>
      </c>
      <c r="S15" s="517">
        <f t="shared" si="6"/>
        <v>0</v>
      </c>
      <c r="T15" s="517">
        <f t="shared" si="6"/>
        <v>0</v>
      </c>
      <c r="U15" s="517">
        <f t="shared" si="6"/>
        <v>0</v>
      </c>
      <c r="V15" s="517">
        <f t="shared" si="6"/>
        <v>0</v>
      </c>
      <c r="W15" s="517">
        <f t="shared" si="6"/>
        <v>0</v>
      </c>
      <c r="X15" s="517">
        <f t="shared" si="6"/>
        <v>0</v>
      </c>
      <c r="Y15" s="517">
        <f t="shared" si="6"/>
        <v>0</v>
      </c>
      <c r="Z15" s="517">
        <f t="shared" si="6"/>
        <v>0</v>
      </c>
      <c r="AA15" s="517">
        <f t="shared" si="6"/>
        <v>0</v>
      </c>
      <c r="AB15" s="517">
        <f t="shared" si="6"/>
        <v>0</v>
      </c>
      <c r="AC15" s="517">
        <f t="shared" si="6"/>
        <v>0</v>
      </c>
      <c r="AD15" s="517">
        <f t="shared" si="6"/>
        <v>0</v>
      </c>
      <c r="AE15" s="517">
        <f t="shared" si="6"/>
        <v>0</v>
      </c>
      <c r="AF15" s="517">
        <f t="shared" si="6"/>
        <v>0</v>
      </c>
      <c r="AG15" s="517">
        <f t="shared" si="6"/>
        <v>0</v>
      </c>
      <c r="AH15" s="517">
        <f t="shared" si="6"/>
        <v>0</v>
      </c>
      <c r="AI15" s="517">
        <f t="shared" si="6"/>
        <v>0</v>
      </c>
      <c r="AJ15" s="517">
        <f t="shared" si="6"/>
        <v>0</v>
      </c>
      <c r="AK15" s="517">
        <f t="shared" si="6"/>
        <v>0</v>
      </c>
      <c r="AL15" s="517">
        <f t="shared" si="5"/>
        <v>0</v>
      </c>
      <c r="AM15" s="517">
        <f t="shared" si="5"/>
        <v>0</v>
      </c>
      <c r="AN15" s="517">
        <f t="shared" si="5"/>
        <v>0</v>
      </c>
      <c r="AO15" s="517">
        <f t="shared" si="5"/>
        <v>0</v>
      </c>
      <c r="AP15" s="517">
        <f t="shared" si="5"/>
        <v>0</v>
      </c>
      <c r="AQ15" s="517">
        <f t="shared" si="5"/>
        <v>0</v>
      </c>
      <c r="AR15" s="517">
        <f t="shared" si="5"/>
        <v>0</v>
      </c>
      <c r="AS15" s="517">
        <f t="shared" si="5"/>
        <v>0</v>
      </c>
      <c r="AT15" s="517">
        <f t="shared" si="5"/>
        <v>0</v>
      </c>
      <c r="AU15" s="517">
        <f t="shared" si="5"/>
        <v>0</v>
      </c>
      <c r="AV15" s="517">
        <f t="shared" si="5"/>
        <v>0</v>
      </c>
      <c r="AW15" s="517">
        <f t="shared" si="5"/>
        <v>0</v>
      </c>
      <c r="AX15" s="517">
        <f t="shared" si="5"/>
        <v>0</v>
      </c>
      <c r="AY15" s="517">
        <f t="shared" si="5"/>
        <v>0</v>
      </c>
      <c r="AZ15" s="517">
        <f t="shared" si="5"/>
        <v>0</v>
      </c>
      <c r="BA15" s="517">
        <f t="shared" si="5"/>
        <v>0</v>
      </c>
      <c r="BB15" s="517">
        <f t="shared" si="5"/>
        <v>0</v>
      </c>
      <c r="BC15" s="517">
        <f t="shared" si="5"/>
        <v>0</v>
      </c>
      <c r="BD15" s="517">
        <f t="shared" si="5"/>
        <v>0</v>
      </c>
      <c r="BE15" s="538">
        <f>SUM(טבלה33[[#This Row],[1]:[50]])</f>
        <v>0</v>
      </c>
      <c r="BF15" s="538">
        <f>טבלה33[[#This Row],[סה"כ]]</f>
        <v>0</v>
      </c>
      <c r="BG15" s="576" t="str">
        <f>טבלה33[[#This Row],[פרודוקטים]]</f>
        <v>לחם פרוס אחיד</v>
      </c>
      <c r="BH15" s="579"/>
      <c r="BJ15" s="531"/>
      <c r="BK15" s="531"/>
      <c r="BL15" s="531"/>
    </row>
    <row r="16" spans="1:64">
      <c r="A16" s="518" t="s">
        <v>887</v>
      </c>
      <c r="B16" s="518">
        <v>9502</v>
      </c>
      <c r="C16" s="518" t="s">
        <v>723</v>
      </c>
      <c r="D16" s="520" t="s">
        <v>736</v>
      </c>
      <c r="E16" s="520"/>
      <c r="F16" s="522">
        <v>120</v>
      </c>
      <c r="G16" s="517">
        <f>ROUNDUP($F16*(G$4+G$3),0)</f>
        <v>0</v>
      </c>
      <c r="H16" s="517">
        <f t="shared" ref="H16:BD16" si="7">ROUNDUP($F16*(H$4+H$3),0)</f>
        <v>0</v>
      </c>
      <c r="I16" s="517">
        <f t="shared" si="7"/>
        <v>0</v>
      </c>
      <c r="J16" s="517">
        <f t="shared" si="7"/>
        <v>0</v>
      </c>
      <c r="K16" s="517">
        <f t="shared" si="7"/>
        <v>0</v>
      </c>
      <c r="L16" s="517">
        <f t="shared" si="7"/>
        <v>0</v>
      </c>
      <c r="M16" s="517">
        <f t="shared" si="7"/>
        <v>0</v>
      </c>
      <c r="N16" s="517">
        <f t="shared" si="7"/>
        <v>0</v>
      </c>
      <c r="O16" s="517">
        <f t="shared" si="7"/>
        <v>0</v>
      </c>
      <c r="P16" s="517">
        <f t="shared" si="7"/>
        <v>0</v>
      </c>
      <c r="Q16" s="517">
        <f t="shared" si="7"/>
        <v>0</v>
      </c>
      <c r="R16" s="517">
        <f t="shared" si="7"/>
        <v>0</v>
      </c>
      <c r="S16" s="517">
        <f t="shared" si="7"/>
        <v>0</v>
      </c>
      <c r="T16" s="517">
        <f t="shared" si="7"/>
        <v>0</v>
      </c>
      <c r="U16" s="517">
        <f t="shared" si="7"/>
        <v>0</v>
      </c>
      <c r="V16" s="517">
        <f t="shared" si="7"/>
        <v>0</v>
      </c>
      <c r="W16" s="517">
        <f t="shared" si="7"/>
        <v>0</v>
      </c>
      <c r="X16" s="517">
        <f t="shared" si="7"/>
        <v>0</v>
      </c>
      <c r="Y16" s="517">
        <f t="shared" si="7"/>
        <v>0</v>
      </c>
      <c r="Z16" s="517">
        <f t="shared" si="7"/>
        <v>0</v>
      </c>
      <c r="AA16" s="517">
        <f t="shared" si="7"/>
        <v>0</v>
      </c>
      <c r="AB16" s="517">
        <f t="shared" si="7"/>
        <v>0</v>
      </c>
      <c r="AC16" s="517">
        <f t="shared" si="7"/>
        <v>0</v>
      </c>
      <c r="AD16" s="517">
        <f t="shared" si="7"/>
        <v>0</v>
      </c>
      <c r="AE16" s="517">
        <f t="shared" si="7"/>
        <v>0</v>
      </c>
      <c r="AF16" s="517">
        <f t="shared" si="7"/>
        <v>0</v>
      </c>
      <c r="AG16" s="517">
        <f t="shared" si="7"/>
        <v>0</v>
      </c>
      <c r="AH16" s="517">
        <f t="shared" si="7"/>
        <v>0</v>
      </c>
      <c r="AI16" s="517">
        <f t="shared" si="7"/>
        <v>0</v>
      </c>
      <c r="AJ16" s="517">
        <f t="shared" si="7"/>
        <v>0</v>
      </c>
      <c r="AK16" s="517">
        <f t="shared" si="7"/>
        <v>0</v>
      </c>
      <c r="AL16" s="517">
        <f t="shared" si="7"/>
        <v>0</v>
      </c>
      <c r="AM16" s="517">
        <f t="shared" si="7"/>
        <v>0</v>
      </c>
      <c r="AN16" s="517">
        <f t="shared" si="7"/>
        <v>0</v>
      </c>
      <c r="AO16" s="517">
        <f t="shared" si="7"/>
        <v>0</v>
      </c>
      <c r="AP16" s="517">
        <f t="shared" si="7"/>
        <v>0</v>
      </c>
      <c r="AQ16" s="517">
        <f t="shared" si="7"/>
        <v>0</v>
      </c>
      <c r="AR16" s="517">
        <f t="shared" si="7"/>
        <v>0</v>
      </c>
      <c r="AS16" s="517">
        <f t="shared" si="7"/>
        <v>0</v>
      </c>
      <c r="AT16" s="517">
        <f t="shared" si="7"/>
        <v>0</v>
      </c>
      <c r="AU16" s="517">
        <f t="shared" si="7"/>
        <v>0</v>
      </c>
      <c r="AV16" s="517">
        <f t="shared" si="7"/>
        <v>0</v>
      </c>
      <c r="AW16" s="517">
        <f t="shared" si="7"/>
        <v>0</v>
      </c>
      <c r="AX16" s="517">
        <f t="shared" si="7"/>
        <v>0</v>
      </c>
      <c r="AY16" s="517">
        <f t="shared" si="7"/>
        <v>0</v>
      </c>
      <c r="AZ16" s="517">
        <f t="shared" si="7"/>
        <v>0</v>
      </c>
      <c r="BA16" s="517">
        <f t="shared" si="7"/>
        <v>0</v>
      </c>
      <c r="BB16" s="517">
        <f t="shared" si="7"/>
        <v>0</v>
      </c>
      <c r="BC16" s="517">
        <f t="shared" si="7"/>
        <v>0</v>
      </c>
      <c r="BD16" s="517">
        <f t="shared" si="7"/>
        <v>0</v>
      </c>
      <c r="BE16" s="538">
        <f>SUM(טבלה33[[#This Row],[1]:[50]])</f>
        <v>0</v>
      </c>
      <c r="BF16" s="538">
        <f>CEILING(טבלה33[[#This Row],[סה"כ]],2000)/1000</f>
        <v>0</v>
      </c>
      <c r="BG16" s="576" t="str">
        <f>טבלה33[[#This Row],[פרודוקטים]]</f>
        <v>לטקס תפוא</v>
      </c>
      <c r="BH16" s="579"/>
      <c r="BJ16" s="531"/>
      <c r="BK16" s="531"/>
      <c r="BL16" s="531"/>
    </row>
    <row r="17" spans="1:64">
      <c r="A17" s="518" t="s">
        <v>887</v>
      </c>
      <c r="B17" s="518">
        <v>11710</v>
      </c>
      <c r="C17" s="518" t="s">
        <v>112</v>
      </c>
      <c r="D17" s="520" t="s">
        <v>629</v>
      </c>
      <c r="E17" s="520"/>
      <c r="F17" s="522">
        <v>1</v>
      </c>
      <c r="G17" s="517">
        <f>ROUNDUP($F17*G$5,0)</f>
        <v>0</v>
      </c>
      <c r="H17" s="517">
        <f t="shared" ref="H17:BD17" si="8">ROUNDUP($F17*H$5,0)</f>
        <v>0</v>
      </c>
      <c r="I17" s="517">
        <f t="shared" si="8"/>
        <v>0</v>
      </c>
      <c r="J17" s="517">
        <f t="shared" si="8"/>
        <v>0</v>
      </c>
      <c r="K17" s="517">
        <f t="shared" si="8"/>
        <v>0</v>
      </c>
      <c r="L17" s="517">
        <f t="shared" si="8"/>
        <v>0</v>
      </c>
      <c r="M17" s="517">
        <f t="shared" si="8"/>
        <v>0</v>
      </c>
      <c r="N17" s="517">
        <f t="shared" si="8"/>
        <v>0</v>
      </c>
      <c r="O17" s="517">
        <f t="shared" si="8"/>
        <v>0</v>
      </c>
      <c r="P17" s="517">
        <f t="shared" si="8"/>
        <v>0</v>
      </c>
      <c r="Q17" s="517">
        <f t="shared" si="8"/>
        <v>0</v>
      </c>
      <c r="R17" s="517">
        <f t="shared" si="8"/>
        <v>0</v>
      </c>
      <c r="S17" s="517">
        <f t="shared" si="8"/>
        <v>0</v>
      </c>
      <c r="T17" s="517">
        <f t="shared" si="8"/>
        <v>0</v>
      </c>
      <c r="U17" s="517">
        <f t="shared" si="8"/>
        <v>0</v>
      </c>
      <c r="V17" s="517">
        <f t="shared" si="8"/>
        <v>0</v>
      </c>
      <c r="W17" s="517">
        <f t="shared" si="8"/>
        <v>0</v>
      </c>
      <c r="X17" s="517">
        <f t="shared" si="8"/>
        <v>0</v>
      </c>
      <c r="Y17" s="517">
        <f t="shared" si="8"/>
        <v>0</v>
      </c>
      <c r="Z17" s="517">
        <f t="shared" si="8"/>
        <v>0</v>
      </c>
      <c r="AA17" s="517">
        <f t="shared" si="8"/>
        <v>0</v>
      </c>
      <c r="AB17" s="517">
        <f t="shared" si="8"/>
        <v>0</v>
      </c>
      <c r="AC17" s="517">
        <f t="shared" si="8"/>
        <v>0</v>
      </c>
      <c r="AD17" s="517">
        <f t="shared" si="8"/>
        <v>0</v>
      </c>
      <c r="AE17" s="517">
        <f t="shared" si="8"/>
        <v>0</v>
      </c>
      <c r="AF17" s="517">
        <f t="shared" si="8"/>
        <v>0</v>
      </c>
      <c r="AG17" s="517">
        <f t="shared" si="8"/>
        <v>0</v>
      </c>
      <c r="AH17" s="517">
        <f t="shared" si="8"/>
        <v>0</v>
      </c>
      <c r="AI17" s="517">
        <f t="shared" si="8"/>
        <v>0</v>
      </c>
      <c r="AJ17" s="517">
        <f t="shared" si="8"/>
        <v>0</v>
      </c>
      <c r="AK17" s="517">
        <f t="shared" si="8"/>
        <v>0</v>
      </c>
      <c r="AL17" s="517">
        <f t="shared" si="8"/>
        <v>0</v>
      </c>
      <c r="AM17" s="517">
        <f t="shared" si="8"/>
        <v>0</v>
      </c>
      <c r="AN17" s="517">
        <f t="shared" si="8"/>
        <v>0</v>
      </c>
      <c r="AO17" s="517">
        <f t="shared" si="8"/>
        <v>0</v>
      </c>
      <c r="AP17" s="517">
        <f t="shared" si="8"/>
        <v>0</v>
      </c>
      <c r="AQ17" s="517">
        <f t="shared" si="8"/>
        <v>0</v>
      </c>
      <c r="AR17" s="517">
        <f t="shared" si="8"/>
        <v>0</v>
      </c>
      <c r="AS17" s="517">
        <f t="shared" si="8"/>
        <v>0</v>
      </c>
      <c r="AT17" s="517">
        <f t="shared" si="8"/>
        <v>0</v>
      </c>
      <c r="AU17" s="517">
        <f t="shared" si="8"/>
        <v>0</v>
      </c>
      <c r="AV17" s="517">
        <f t="shared" si="8"/>
        <v>0</v>
      </c>
      <c r="AW17" s="517">
        <f t="shared" si="8"/>
        <v>0</v>
      </c>
      <c r="AX17" s="517">
        <f t="shared" si="8"/>
        <v>0</v>
      </c>
      <c r="AY17" s="517">
        <f t="shared" si="8"/>
        <v>0</v>
      </c>
      <c r="AZ17" s="517">
        <f t="shared" si="8"/>
        <v>0</v>
      </c>
      <c r="BA17" s="517">
        <f t="shared" si="8"/>
        <v>0</v>
      </c>
      <c r="BB17" s="517">
        <f t="shared" si="8"/>
        <v>0</v>
      </c>
      <c r="BC17" s="517">
        <f t="shared" si="8"/>
        <v>0</v>
      </c>
      <c r="BD17" s="517">
        <f t="shared" si="8"/>
        <v>0</v>
      </c>
      <c r="BE17" s="538">
        <f>SUM(טבלה33[[#This Row],[1]:[50]])</f>
        <v>0</v>
      </c>
      <c r="BF17" s="538">
        <f>טבלה33[[#This Row],[סה"כ]]</f>
        <v>0</v>
      </c>
      <c r="BG17" s="576" t="str">
        <f>טבלה33[[#This Row],[פרודוקטים]]</f>
        <v>מנה צליאק</v>
      </c>
      <c r="BH17" s="579"/>
      <c r="BJ17" s="531"/>
      <c r="BK17" s="531"/>
      <c r="BL17" s="531"/>
    </row>
    <row r="18" spans="1:64">
      <c r="A18" s="518" t="s">
        <v>887</v>
      </c>
      <c r="B18" s="518">
        <v>6689</v>
      </c>
      <c r="C18" s="518" t="s">
        <v>25</v>
      </c>
      <c r="D18" s="520" t="s">
        <v>889</v>
      </c>
      <c r="E18" s="520"/>
      <c r="F18" s="523">
        <f>1/20</f>
        <v>0.05</v>
      </c>
      <c r="G18" s="517">
        <f>ROUNDUP($F18*G$2,0)</f>
        <v>0</v>
      </c>
      <c r="H18" s="517">
        <f t="shared" ref="H18:BD18" si="9">ROUNDUP($F18*H$2,0)</f>
        <v>0</v>
      </c>
      <c r="I18" s="517">
        <f t="shared" si="9"/>
        <v>0</v>
      </c>
      <c r="J18" s="517">
        <f t="shared" si="9"/>
        <v>0</v>
      </c>
      <c r="K18" s="517">
        <f t="shared" si="9"/>
        <v>0</v>
      </c>
      <c r="L18" s="517">
        <f t="shared" si="9"/>
        <v>0</v>
      </c>
      <c r="M18" s="517">
        <f t="shared" si="9"/>
        <v>0</v>
      </c>
      <c r="N18" s="517">
        <f t="shared" si="9"/>
        <v>0</v>
      </c>
      <c r="O18" s="517">
        <f t="shared" si="9"/>
        <v>0</v>
      </c>
      <c r="P18" s="517">
        <f t="shared" si="9"/>
        <v>0</v>
      </c>
      <c r="Q18" s="517">
        <f t="shared" si="9"/>
        <v>0</v>
      </c>
      <c r="R18" s="517">
        <f t="shared" si="9"/>
        <v>0</v>
      </c>
      <c r="S18" s="517">
        <f t="shared" si="9"/>
        <v>0</v>
      </c>
      <c r="T18" s="517">
        <f t="shared" si="9"/>
        <v>0</v>
      </c>
      <c r="U18" s="517">
        <f t="shared" si="9"/>
        <v>0</v>
      </c>
      <c r="V18" s="517">
        <f t="shared" si="9"/>
        <v>0</v>
      </c>
      <c r="W18" s="517">
        <f t="shared" si="9"/>
        <v>0</v>
      </c>
      <c r="X18" s="517">
        <f t="shared" si="9"/>
        <v>0</v>
      </c>
      <c r="Y18" s="517">
        <f t="shared" si="9"/>
        <v>0</v>
      </c>
      <c r="Z18" s="517">
        <f t="shared" si="9"/>
        <v>0</v>
      </c>
      <c r="AA18" s="517">
        <f t="shared" si="9"/>
        <v>0</v>
      </c>
      <c r="AB18" s="517">
        <f t="shared" si="9"/>
        <v>0</v>
      </c>
      <c r="AC18" s="517">
        <f t="shared" si="9"/>
        <v>0</v>
      </c>
      <c r="AD18" s="517">
        <f t="shared" si="9"/>
        <v>0</v>
      </c>
      <c r="AE18" s="517">
        <f t="shared" si="9"/>
        <v>0</v>
      </c>
      <c r="AF18" s="517">
        <f t="shared" si="9"/>
        <v>0</v>
      </c>
      <c r="AG18" s="517">
        <f t="shared" si="9"/>
        <v>0</v>
      </c>
      <c r="AH18" s="517">
        <f t="shared" si="9"/>
        <v>0</v>
      </c>
      <c r="AI18" s="517">
        <f t="shared" si="9"/>
        <v>0</v>
      </c>
      <c r="AJ18" s="517">
        <f t="shared" si="9"/>
        <v>0</v>
      </c>
      <c r="AK18" s="517">
        <f t="shared" si="9"/>
        <v>0</v>
      </c>
      <c r="AL18" s="517">
        <f t="shared" si="9"/>
        <v>0</v>
      </c>
      <c r="AM18" s="517">
        <f t="shared" si="9"/>
        <v>0</v>
      </c>
      <c r="AN18" s="517">
        <f t="shared" si="9"/>
        <v>0</v>
      </c>
      <c r="AO18" s="517">
        <f t="shared" si="9"/>
        <v>0</v>
      </c>
      <c r="AP18" s="517">
        <f t="shared" si="9"/>
        <v>0</v>
      </c>
      <c r="AQ18" s="517">
        <f t="shared" si="9"/>
        <v>0</v>
      </c>
      <c r="AR18" s="517">
        <f t="shared" si="9"/>
        <v>0</v>
      </c>
      <c r="AS18" s="517">
        <f t="shared" si="9"/>
        <v>0</v>
      </c>
      <c r="AT18" s="517">
        <f t="shared" si="9"/>
        <v>0</v>
      </c>
      <c r="AU18" s="517">
        <f t="shared" si="9"/>
        <v>0</v>
      </c>
      <c r="AV18" s="517">
        <f t="shared" si="9"/>
        <v>0</v>
      </c>
      <c r="AW18" s="517">
        <f t="shared" si="9"/>
        <v>0</v>
      </c>
      <c r="AX18" s="517">
        <f t="shared" si="9"/>
        <v>0</v>
      </c>
      <c r="AY18" s="517">
        <f t="shared" si="9"/>
        <v>0</v>
      </c>
      <c r="AZ18" s="517">
        <f t="shared" si="9"/>
        <v>0</v>
      </c>
      <c r="BA18" s="517">
        <f t="shared" si="9"/>
        <v>0</v>
      </c>
      <c r="BB18" s="517">
        <f t="shared" si="9"/>
        <v>0</v>
      </c>
      <c r="BC18" s="517">
        <f t="shared" si="9"/>
        <v>0</v>
      </c>
      <c r="BD18" s="517">
        <f t="shared" si="9"/>
        <v>0</v>
      </c>
      <c r="BE18" s="538">
        <f>SUM(טבלה33[[#This Row],[1]:[50]])</f>
        <v>0</v>
      </c>
      <c r="BF18" s="538">
        <f>טבלה33[[#This Row],[סה"כ]]</f>
        <v>0</v>
      </c>
      <c r="BG18" s="576" t="str">
        <f>טבלה33[[#This Row],[פרודוקטים]]</f>
        <v>שמן</v>
      </c>
      <c r="BH18" s="579"/>
      <c r="BJ18" s="531"/>
      <c r="BK18" s="531"/>
      <c r="BL18" s="531"/>
    </row>
    <row r="19" spans="1:64">
      <c r="A19" s="518" t="s">
        <v>887</v>
      </c>
      <c r="B19" s="518">
        <v>6600</v>
      </c>
      <c r="C19" s="518" t="s">
        <v>106</v>
      </c>
      <c r="D19" s="520" t="s">
        <v>924</v>
      </c>
      <c r="E19" s="520"/>
      <c r="F19" s="523">
        <v>50</v>
      </c>
      <c r="G19" s="517">
        <f>IF(G$2&gt;0,$F19,0)</f>
        <v>0</v>
      </c>
      <c r="H19" s="517">
        <f t="shared" ref="H19:BD19" si="10">IF(H$2&gt;0,$F19,0)</f>
        <v>0</v>
      </c>
      <c r="I19" s="517">
        <f t="shared" si="10"/>
        <v>0</v>
      </c>
      <c r="J19" s="517">
        <f t="shared" si="10"/>
        <v>0</v>
      </c>
      <c r="K19" s="517">
        <f t="shared" si="10"/>
        <v>0</v>
      </c>
      <c r="L19" s="517">
        <f t="shared" si="10"/>
        <v>0</v>
      </c>
      <c r="M19" s="517">
        <f t="shared" si="10"/>
        <v>0</v>
      </c>
      <c r="N19" s="517">
        <f t="shared" si="10"/>
        <v>0</v>
      </c>
      <c r="O19" s="517">
        <f t="shared" si="10"/>
        <v>0</v>
      </c>
      <c r="P19" s="517">
        <f t="shared" si="10"/>
        <v>0</v>
      </c>
      <c r="Q19" s="517">
        <f t="shared" si="10"/>
        <v>0</v>
      </c>
      <c r="R19" s="517">
        <f t="shared" si="10"/>
        <v>0</v>
      </c>
      <c r="S19" s="517">
        <f t="shared" si="10"/>
        <v>0</v>
      </c>
      <c r="T19" s="517">
        <f t="shared" si="10"/>
        <v>0</v>
      </c>
      <c r="U19" s="517">
        <f t="shared" si="10"/>
        <v>0</v>
      </c>
      <c r="V19" s="517">
        <f t="shared" si="10"/>
        <v>0</v>
      </c>
      <c r="W19" s="517">
        <f t="shared" si="10"/>
        <v>0</v>
      </c>
      <c r="X19" s="517">
        <f t="shared" si="10"/>
        <v>0</v>
      </c>
      <c r="Y19" s="517">
        <f t="shared" si="10"/>
        <v>0</v>
      </c>
      <c r="Z19" s="517">
        <f t="shared" si="10"/>
        <v>0</v>
      </c>
      <c r="AA19" s="517">
        <f t="shared" si="10"/>
        <v>0</v>
      </c>
      <c r="AB19" s="517">
        <f t="shared" si="10"/>
        <v>0</v>
      </c>
      <c r="AC19" s="517">
        <f t="shared" si="10"/>
        <v>0</v>
      </c>
      <c r="AD19" s="517">
        <f t="shared" si="10"/>
        <v>0</v>
      </c>
      <c r="AE19" s="517">
        <f t="shared" si="10"/>
        <v>0</v>
      </c>
      <c r="AF19" s="517">
        <f t="shared" si="10"/>
        <v>0</v>
      </c>
      <c r="AG19" s="517">
        <f t="shared" si="10"/>
        <v>0</v>
      </c>
      <c r="AH19" s="517">
        <f t="shared" si="10"/>
        <v>0</v>
      </c>
      <c r="AI19" s="517">
        <f t="shared" si="10"/>
        <v>0</v>
      </c>
      <c r="AJ19" s="517">
        <f t="shared" si="10"/>
        <v>0</v>
      </c>
      <c r="AK19" s="517">
        <f t="shared" si="10"/>
        <v>0</v>
      </c>
      <c r="AL19" s="517">
        <f t="shared" si="10"/>
        <v>0</v>
      </c>
      <c r="AM19" s="517">
        <f t="shared" si="10"/>
        <v>0</v>
      </c>
      <c r="AN19" s="517">
        <f t="shared" si="10"/>
        <v>0</v>
      </c>
      <c r="AO19" s="517">
        <f t="shared" si="10"/>
        <v>0</v>
      </c>
      <c r="AP19" s="517">
        <f t="shared" si="10"/>
        <v>0</v>
      </c>
      <c r="AQ19" s="517">
        <f t="shared" si="10"/>
        <v>0</v>
      </c>
      <c r="AR19" s="517">
        <f t="shared" si="10"/>
        <v>0</v>
      </c>
      <c r="AS19" s="517">
        <f t="shared" si="10"/>
        <v>0</v>
      </c>
      <c r="AT19" s="517">
        <f t="shared" si="10"/>
        <v>0</v>
      </c>
      <c r="AU19" s="517">
        <f t="shared" si="10"/>
        <v>0</v>
      </c>
      <c r="AV19" s="517">
        <f t="shared" si="10"/>
        <v>0</v>
      </c>
      <c r="AW19" s="517">
        <f t="shared" si="10"/>
        <v>0</v>
      </c>
      <c r="AX19" s="517">
        <f t="shared" si="10"/>
        <v>0</v>
      </c>
      <c r="AY19" s="517">
        <f t="shared" si="10"/>
        <v>0</v>
      </c>
      <c r="AZ19" s="517">
        <f t="shared" si="10"/>
        <v>0</v>
      </c>
      <c r="BA19" s="517">
        <f t="shared" si="10"/>
        <v>0</v>
      </c>
      <c r="BB19" s="517">
        <f t="shared" si="10"/>
        <v>0</v>
      </c>
      <c r="BC19" s="517">
        <f t="shared" si="10"/>
        <v>0</v>
      </c>
      <c r="BD19" s="517">
        <f t="shared" si="10"/>
        <v>0</v>
      </c>
      <c r="BE19" s="538">
        <f>SUM(טבלה33[[#This Row],[1]:[50]])</f>
        <v>0</v>
      </c>
      <c r="BF19" s="538">
        <f>CEILING(טבלה33[[#This Row],[סה"כ]],1000)/1000</f>
        <v>0</v>
      </c>
      <c r="BG19" s="576" t="str">
        <f>טבלה33[[#This Row],[פרודוקטים]]</f>
        <v>מלח</v>
      </c>
      <c r="BH19" s="579"/>
      <c r="BJ19" s="531"/>
      <c r="BK19" s="531"/>
      <c r="BL19" s="531"/>
    </row>
    <row r="20" spans="1:64">
      <c r="A20" s="518" t="s">
        <v>887</v>
      </c>
      <c r="B20" s="518">
        <v>688</v>
      </c>
      <c r="C20" s="518" t="s">
        <v>727</v>
      </c>
      <c r="D20" s="552" t="s">
        <v>925</v>
      </c>
      <c r="E20" s="520"/>
      <c r="F20" s="523">
        <v>20</v>
      </c>
      <c r="G20" s="517">
        <f>IF(G$2&gt;0,טבלה33[[#This Row],[מפתח2]],0)</f>
        <v>0</v>
      </c>
      <c r="H20" s="517">
        <f>IF(H$2&gt;0,טבלה33[[#This Row],[1]],0)</f>
        <v>0</v>
      </c>
      <c r="I20" s="517">
        <f t="shared" ref="I20:BD20" si="11">IF(I$2&gt;0,1,0)</f>
        <v>0</v>
      </c>
      <c r="J20" s="517">
        <f t="shared" si="11"/>
        <v>0</v>
      </c>
      <c r="K20" s="517">
        <f t="shared" si="11"/>
        <v>0</v>
      </c>
      <c r="L20" s="517">
        <f t="shared" si="11"/>
        <v>0</v>
      </c>
      <c r="M20" s="517">
        <f t="shared" si="11"/>
        <v>0</v>
      </c>
      <c r="N20" s="517">
        <f t="shared" si="11"/>
        <v>0</v>
      </c>
      <c r="O20" s="517">
        <f t="shared" si="11"/>
        <v>0</v>
      </c>
      <c r="P20" s="517">
        <f t="shared" si="11"/>
        <v>0</v>
      </c>
      <c r="Q20" s="517">
        <f t="shared" si="11"/>
        <v>0</v>
      </c>
      <c r="R20" s="517">
        <f t="shared" si="11"/>
        <v>0</v>
      </c>
      <c r="S20" s="517">
        <f t="shared" si="11"/>
        <v>0</v>
      </c>
      <c r="T20" s="517">
        <f t="shared" si="11"/>
        <v>0</v>
      </c>
      <c r="U20" s="517">
        <f t="shared" si="11"/>
        <v>0</v>
      </c>
      <c r="V20" s="517">
        <f t="shared" si="11"/>
        <v>0</v>
      </c>
      <c r="W20" s="517">
        <f t="shared" si="11"/>
        <v>0</v>
      </c>
      <c r="X20" s="517">
        <f t="shared" si="11"/>
        <v>0</v>
      </c>
      <c r="Y20" s="517">
        <f t="shared" si="11"/>
        <v>0</v>
      </c>
      <c r="Z20" s="517">
        <f t="shared" si="11"/>
        <v>0</v>
      </c>
      <c r="AA20" s="517">
        <f t="shared" si="11"/>
        <v>0</v>
      </c>
      <c r="AB20" s="517">
        <f t="shared" si="11"/>
        <v>0</v>
      </c>
      <c r="AC20" s="517">
        <f t="shared" si="11"/>
        <v>0</v>
      </c>
      <c r="AD20" s="517">
        <f t="shared" si="11"/>
        <v>0</v>
      </c>
      <c r="AE20" s="517">
        <f t="shared" si="11"/>
        <v>0</v>
      </c>
      <c r="AF20" s="517">
        <f t="shared" si="11"/>
        <v>0</v>
      </c>
      <c r="AG20" s="517">
        <f t="shared" si="11"/>
        <v>0</v>
      </c>
      <c r="AH20" s="517">
        <f t="shared" si="11"/>
        <v>0</v>
      </c>
      <c r="AI20" s="517">
        <f t="shared" si="11"/>
        <v>0</v>
      </c>
      <c r="AJ20" s="517">
        <f t="shared" si="11"/>
        <v>0</v>
      </c>
      <c r="AK20" s="517">
        <f t="shared" si="11"/>
        <v>0</v>
      </c>
      <c r="AL20" s="517">
        <f t="shared" si="11"/>
        <v>0</v>
      </c>
      <c r="AM20" s="517">
        <f t="shared" si="11"/>
        <v>0</v>
      </c>
      <c r="AN20" s="517">
        <f t="shared" si="11"/>
        <v>0</v>
      </c>
      <c r="AO20" s="517">
        <f t="shared" si="11"/>
        <v>0</v>
      </c>
      <c r="AP20" s="517">
        <f t="shared" si="11"/>
        <v>0</v>
      </c>
      <c r="AQ20" s="517">
        <f t="shared" si="11"/>
        <v>0</v>
      </c>
      <c r="AR20" s="517">
        <f t="shared" si="11"/>
        <v>0</v>
      </c>
      <c r="AS20" s="517">
        <f t="shared" si="11"/>
        <v>0</v>
      </c>
      <c r="AT20" s="517">
        <f t="shared" si="11"/>
        <v>0</v>
      </c>
      <c r="AU20" s="517">
        <f t="shared" si="11"/>
        <v>0</v>
      </c>
      <c r="AV20" s="517">
        <f t="shared" si="11"/>
        <v>0</v>
      </c>
      <c r="AW20" s="517">
        <f t="shared" si="11"/>
        <v>0</v>
      </c>
      <c r="AX20" s="517">
        <f t="shared" si="11"/>
        <v>0</v>
      </c>
      <c r="AY20" s="517">
        <f t="shared" si="11"/>
        <v>0</v>
      </c>
      <c r="AZ20" s="517">
        <f t="shared" si="11"/>
        <v>0</v>
      </c>
      <c r="BA20" s="517">
        <f t="shared" si="11"/>
        <v>0</v>
      </c>
      <c r="BB20" s="517">
        <f t="shared" si="11"/>
        <v>0</v>
      </c>
      <c r="BC20" s="517">
        <f t="shared" si="11"/>
        <v>0</v>
      </c>
      <c r="BD20" s="517">
        <f t="shared" si="11"/>
        <v>0</v>
      </c>
      <c r="BE20" s="538">
        <f>SUM(טבלה33[[#This Row],[1]:[50]])</f>
        <v>0</v>
      </c>
      <c r="BF20" s="538">
        <f>CEILING(טבלה33[[#This Row],[סה"כ]],1000)/1000</f>
        <v>0</v>
      </c>
      <c r="BG20" s="576" t="str">
        <f>טבלה33[[#This Row],[פרודוקטים]]</f>
        <v>פלפל</v>
      </c>
      <c r="BH20" s="579"/>
      <c r="BJ20" s="531"/>
      <c r="BK20" s="531"/>
      <c r="BL20" s="531"/>
    </row>
    <row r="21" spans="1:64">
      <c r="A21" s="518" t="s">
        <v>887</v>
      </c>
      <c r="B21" s="518" t="s">
        <v>574</v>
      </c>
      <c r="C21" s="518" t="s">
        <v>32</v>
      </c>
      <c r="D21" s="520" t="s">
        <v>729</v>
      </c>
      <c r="E21" s="520"/>
      <c r="F21" s="522">
        <v>1.2</v>
      </c>
      <c r="G21" s="517">
        <f>ROUNDUP($F21*G$2,0)</f>
        <v>0</v>
      </c>
      <c r="H21" s="517">
        <f t="shared" ref="H21:BD24" si="12">ROUNDUP($F21*H$2,0)</f>
        <v>0</v>
      </c>
      <c r="I21" s="517">
        <f t="shared" si="12"/>
        <v>0</v>
      </c>
      <c r="J21" s="517">
        <f t="shared" si="12"/>
        <v>0</v>
      </c>
      <c r="K21" s="517">
        <f t="shared" si="12"/>
        <v>0</v>
      </c>
      <c r="L21" s="517">
        <f t="shared" si="12"/>
        <v>0</v>
      </c>
      <c r="M21" s="517">
        <f t="shared" si="12"/>
        <v>0</v>
      </c>
      <c r="N21" s="517">
        <f t="shared" si="12"/>
        <v>0</v>
      </c>
      <c r="O21" s="517">
        <f t="shared" si="12"/>
        <v>0</v>
      </c>
      <c r="P21" s="517">
        <f t="shared" si="12"/>
        <v>0</v>
      </c>
      <c r="Q21" s="517">
        <f t="shared" si="12"/>
        <v>0</v>
      </c>
      <c r="R21" s="517">
        <f t="shared" si="12"/>
        <v>0</v>
      </c>
      <c r="S21" s="517">
        <f t="shared" si="12"/>
        <v>0</v>
      </c>
      <c r="T21" s="517">
        <f t="shared" si="12"/>
        <v>0</v>
      </c>
      <c r="U21" s="517">
        <f t="shared" si="12"/>
        <v>0</v>
      </c>
      <c r="V21" s="517">
        <f t="shared" si="12"/>
        <v>0</v>
      </c>
      <c r="W21" s="517">
        <f t="shared" si="12"/>
        <v>0</v>
      </c>
      <c r="X21" s="517">
        <f t="shared" si="12"/>
        <v>0</v>
      </c>
      <c r="Y21" s="517">
        <f t="shared" si="12"/>
        <v>0</v>
      </c>
      <c r="Z21" s="517">
        <f t="shared" si="12"/>
        <v>0</v>
      </c>
      <c r="AA21" s="517">
        <f t="shared" si="12"/>
        <v>0</v>
      </c>
      <c r="AB21" s="517">
        <f t="shared" si="12"/>
        <v>0</v>
      </c>
      <c r="AC21" s="517">
        <f t="shared" si="12"/>
        <v>0</v>
      </c>
      <c r="AD21" s="517">
        <f t="shared" si="12"/>
        <v>0</v>
      </c>
      <c r="AE21" s="517">
        <f t="shared" si="12"/>
        <v>0</v>
      </c>
      <c r="AF21" s="517">
        <f t="shared" si="12"/>
        <v>0</v>
      </c>
      <c r="AG21" s="517">
        <f t="shared" si="12"/>
        <v>0</v>
      </c>
      <c r="AH21" s="517">
        <f t="shared" si="12"/>
        <v>0</v>
      </c>
      <c r="AI21" s="517">
        <f t="shared" si="12"/>
        <v>0</v>
      </c>
      <c r="AJ21" s="517">
        <f t="shared" si="12"/>
        <v>0</v>
      </c>
      <c r="AK21" s="517">
        <f t="shared" si="12"/>
        <v>0</v>
      </c>
      <c r="AL21" s="517">
        <f t="shared" si="12"/>
        <v>0</v>
      </c>
      <c r="AM21" s="517">
        <f t="shared" si="12"/>
        <v>0</v>
      </c>
      <c r="AN21" s="517">
        <f t="shared" si="12"/>
        <v>0</v>
      </c>
      <c r="AO21" s="517">
        <f t="shared" si="12"/>
        <v>0</v>
      </c>
      <c r="AP21" s="517">
        <f t="shared" si="12"/>
        <v>0</v>
      </c>
      <c r="AQ21" s="517">
        <f t="shared" si="12"/>
        <v>0</v>
      </c>
      <c r="AR21" s="517">
        <f t="shared" si="12"/>
        <v>0</v>
      </c>
      <c r="AS21" s="517">
        <f t="shared" si="12"/>
        <v>0</v>
      </c>
      <c r="AT21" s="517">
        <f t="shared" si="12"/>
        <v>0</v>
      </c>
      <c r="AU21" s="517">
        <f t="shared" si="12"/>
        <v>0</v>
      </c>
      <c r="AV21" s="517">
        <f t="shared" si="12"/>
        <v>0</v>
      </c>
      <c r="AW21" s="517">
        <f t="shared" si="12"/>
        <v>0</v>
      </c>
      <c r="AX21" s="517">
        <f t="shared" si="12"/>
        <v>0</v>
      </c>
      <c r="AY21" s="517">
        <f t="shared" si="12"/>
        <v>0</v>
      </c>
      <c r="AZ21" s="517">
        <f t="shared" si="12"/>
        <v>0</v>
      </c>
      <c r="BA21" s="517">
        <f t="shared" si="12"/>
        <v>0</v>
      </c>
      <c r="BB21" s="517">
        <f t="shared" si="12"/>
        <v>0</v>
      </c>
      <c r="BC21" s="517">
        <f t="shared" si="12"/>
        <v>0</v>
      </c>
      <c r="BD21" s="517">
        <f t="shared" si="12"/>
        <v>0</v>
      </c>
      <c r="BE21" s="538">
        <f>SUM(טבלה33[[#This Row],[1]:[50]])</f>
        <v>0</v>
      </c>
      <c r="BF21" s="538">
        <f>CEILING(טבלה33[[#This Row],[סה"כ]],100)</f>
        <v>0</v>
      </c>
      <c r="BG21" s="576" t="str">
        <f>טבלה33[[#This Row],[פרודוקטים]]</f>
        <v>סכין</v>
      </c>
      <c r="BH21" s="579"/>
      <c r="BJ21" s="531"/>
      <c r="BK21" s="531"/>
      <c r="BL21" s="531"/>
    </row>
    <row r="22" spans="1:64">
      <c r="A22" s="518" t="s">
        <v>887</v>
      </c>
      <c r="B22" s="518" t="s">
        <v>575</v>
      </c>
      <c r="C22" s="518" t="s">
        <v>33</v>
      </c>
      <c r="D22" s="520" t="s">
        <v>729</v>
      </c>
      <c r="E22" s="520"/>
      <c r="F22" s="522">
        <v>1.2</v>
      </c>
      <c r="G22" s="517">
        <f>ROUNDUP($F22*G$2,0)</f>
        <v>0</v>
      </c>
      <c r="H22" s="517">
        <f t="shared" si="12"/>
        <v>0</v>
      </c>
      <c r="I22" s="517">
        <f t="shared" si="12"/>
        <v>0</v>
      </c>
      <c r="J22" s="517">
        <f t="shared" si="12"/>
        <v>0</v>
      </c>
      <c r="K22" s="517">
        <f t="shared" si="12"/>
        <v>0</v>
      </c>
      <c r="L22" s="517">
        <f t="shared" si="12"/>
        <v>0</v>
      </c>
      <c r="M22" s="517">
        <f t="shared" si="12"/>
        <v>0</v>
      </c>
      <c r="N22" s="517">
        <f t="shared" si="12"/>
        <v>0</v>
      </c>
      <c r="O22" s="517">
        <f t="shared" si="12"/>
        <v>0</v>
      </c>
      <c r="P22" s="517">
        <f t="shared" si="12"/>
        <v>0</v>
      </c>
      <c r="Q22" s="517">
        <f t="shared" si="12"/>
        <v>0</v>
      </c>
      <c r="R22" s="517">
        <f t="shared" si="12"/>
        <v>0</v>
      </c>
      <c r="S22" s="517">
        <f t="shared" si="12"/>
        <v>0</v>
      </c>
      <c r="T22" s="517">
        <f t="shared" si="12"/>
        <v>0</v>
      </c>
      <c r="U22" s="517">
        <f t="shared" si="12"/>
        <v>0</v>
      </c>
      <c r="V22" s="517">
        <f t="shared" si="12"/>
        <v>0</v>
      </c>
      <c r="W22" s="517">
        <f t="shared" si="12"/>
        <v>0</v>
      </c>
      <c r="X22" s="517">
        <f t="shared" si="12"/>
        <v>0</v>
      </c>
      <c r="Y22" s="517">
        <f t="shared" si="12"/>
        <v>0</v>
      </c>
      <c r="Z22" s="517">
        <f t="shared" si="12"/>
        <v>0</v>
      </c>
      <c r="AA22" s="517">
        <f t="shared" si="12"/>
        <v>0</v>
      </c>
      <c r="AB22" s="517">
        <f t="shared" si="12"/>
        <v>0</v>
      </c>
      <c r="AC22" s="517">
        <f t="shared" si="12"/>
        <v>0</v>
      </c>
      <c r="AD22" s="517">
        <f t="shared" si="12"/>
        <v>0</v>
      </c>
      <c r="AE22" s="517">
        <f t="shared" si="12"/>
        <v>0</v>
      </c>
      <c r="AF22" s="517">
        <f t="shared" si="12"/>
        <v>0</v>
      </c>
      <c r="AG22" s="517">
        <f t="shared" si="12"/>
        <v>0</v>
      </c>
      <c r="AH22" s="517">
        <f t="shared" si="12"/>
        <v>0</v>
      </c>
      <c r="AI22" s="517">
        <f t="shared" si="12"/>
        <v>0</v>
      </c>
      <c r="AJ22" s="517">
        <f t="shared" si="12"/>
        <v>0</v>
      </c>
      <c r="AK22" s="517">
        <f t="shared" si="12"/>
        <v>0</v>
      </c>
      <c r="AL22" s="517">
        <f t="shared" si="12"/>
        <v>0</v>
      </c>
      <c r="AM22" s="517">
        <f t="shared" si="12"/>
        <v>0</v>
      </c>
      <c r="AN22" s="517">
        <f t="shared" si="12"/>
        <v>0</v>
      </c>
      <c r="AO22" s="517">
        <f t="shared" si="12"/>
        <v>0</v>
      </c>
      <c r="AP22" s="517">
        <f t="shared" si="12"/>
        <v>0</v>
      </c>
      <c r="AQ22" s="517">
        <f t="shared" si="12"/>
        <v>0</v>
      </c>
      <c r="AR22" s="517">
        <f t="shared" si="12"/>
        <v>0</v>
      </c>
      <c r="AS22" s="517">
        <f t="shared" si="12"/>
        <v>0</v>
      </c>
      <c r="AT22" s="517">
        <f t="shared" si="12"/>
        <v>0</v>
      </c>
      <c r="AU22" s="517">
        <f t="shared" si="12"/>
        <v>0</v>
      </c>
      <c r="AV22" s="517">
        <f t="shared" si="12"/>
        <v>0</v>
      </c>
      <c r="AW22" s="517">
        <f t="shared" si="12"/>
        <v>0</v>
      </c>
      <c r="AX22" s="517">
        <f t="shared" si="12"/>
        <v>0</v>
      </c>
      <c r="AY22" s="517">
        <f t="shared" si="12"/>
        <v>0</v>
      </c>
      <c r="AZ22" s="517">
        <f t="shared" si="12"/>
        <v>0</v>
      </c>
      <c r="BA22" s="517">
        <f t="shared" si="12"/>
        <v>0</v>
      </c>
      <c r="BB22" s="517">
        <f t="shared" si="12"/>
        <v>0</v>
      </c>
      <c r="BC22" s="517">
        <f t="shared" si="12"/>
        <v>0</v>
      </c>
      <c r="BD22" s="517">
        <f t="shared" si="12"/>
        <v>0</v>
      </c>
      <c r="BE22" s="538">
        <f>SUM(טבלה33[[#This Row],[1]:[50]])</f>
        <v>0</v>
      </c>
      <c r="BF22" s="538">
        <f>CEILING(טבלה33[[#This Row],[סה"כ]],100)</f>
        <v>0</v>
      </c>
      <c r="BG22" s="576" t="str">
        <f>טבלה33[[#This Row],[פרודוקטים]]</f>
        <v>מזלג</v>
      </c>
      <c r="BH22" s="579"/>
      <c r="BJ22" s="531"/>
      <c r="BK22" s="531"/>
      <c r="BL22" s="531"/>
    </row>
    <row r="23" spans="1:64">
      <c r="A23" s="518" t="s">
        <v>887</v>
      </c>
      <c r="B23" s="518" t="s">
        <v>570</v>
      </c>
      <c r="C23" s="518" t="s">
        <v>29</v>
      </c>
      <c r="D23" s="520" t="s">
        <v>729</v>
      </c>
      <c r="E23" s="520"/>
      <c r="F23" s="522">
        <v>1.2</v>
      </c>
      <c r="G23" s="517">
        <f>ROUNDUP($F23*G$2,0)</f>
        <v>0</v>
      </c>
      <c r="H23" s="517">
        <f t="shared" si="12"/>
        <v>0</v>
      </c>
      <c r="I23" s="517">
        <f t="shared" si="12"/>
        <v>0</v>
      </c>
      <c r="J23" s="517">
        <f t="shared" si="12"/>
        <v>0</v>
      </c>
      <c r="K23" s="517">
        <f t="shared" si="12"/>
        <v>0</v>
      </c>
      <c r="L23" s="517">
        <f t="shared" si="12"/>
        <v>0</v>
      </c>
      <c r="M23" s="517">
        <f t="shared" si="12"/>
        <v>0</v>
      </c>
      <c r="N23" s="517">
        <f t="shared" si="12"/>
        <v>0</v>
      </c>
      <c r="O23" s="517">
        <f t="shared" si="12"/>
        <v>0</v>
      </c>
      <c r="P23" s="517">
        <f t="shared" si="12"/>
        <v>0</v>
      </c>
      <c r="Q23" s="517">
        <f t="shared" si="12"/>
        <v>0</v>
      </c>
      <c r="R23" s="517">
        <f t="shared" si="12"/>
        <v>0</v>
      </c>
      <c r="S23" s="517">
        <f t="shared" si="12"/>
        <v>0</v>
      </c>
      <c r="T23" s="517">
        <f t="shared" si="12"/>
        <v>0</v>
      </c>
      <c r="U23" s="517">
        <f t="shared" si="12"/>
        <v>0</v>
      </c>
      <c r="V23" s="517">
        <f t="shared" si="12"/>
        <v>0</v>
      </c>
      <c r="W23" s="517">
        <f t="shared" si="12"/>
        <v>0</v>
      </c>
      <c r="X23" s="517">
        <f t="shared" si="12"/>
        <v>0</v>
      </c>
      <c r="Y23" s="517">
        <f t="shared" si="12"/>
        <v>0</v>
      </c>
      <c r="Z23" s="517">
        <f t="shared" si="12"/>
        <v>0</v>
      </c>
      <c r="AA23" s="517">
        <f t="shared" si="12"/>
        <v>0</v>
      </c>
      <c r="AB23" s="517">
        <f t="shared" si="12"/>
        <v>0</v>
      </c>
      <c r="AC23" s="517">
        <f t="shared" si="12"/>
        <v>0</v>
      </c>
      <c r="AD23" s="517">
        <f t="shared" si="12"/>
        <v>0</v>
      </c>
      <c r="AE23" s="517">
        <f t="shared" si="12"/>
        <v>0</v>
      </c>
      <c r="AF23" s="517">
        <f t="shared" si="12"/>
        <v>0</v>
      </c>
      <c r="AG23" s="517">
        <f t="shared" si="12"/>
        <v>0</v>
      </c>
      <c r="AH23" s="517">
        <f t="shared" si="12"/>
        <v>0</v>
      </c>
      <c r="AI23" s="517">
        <f t="shared" si="12"/>
        <v>0</v>
      </c>
      <c r="AJ23" s="517">
        <f t="shared" si="12"/>
        <v>0</v>
      </c>
      <c r="AK23" s="517">
        <f t="shared" si="12"/>
        <v>0</v>
      </c>
      <c r="AL23" s="517">
        <f t="shared" si="12"/>
        <v>0</v>
      </c>
      <c r="AM23" s="517">
        <f t="shared" si="12"/>
        <v>0</v>
      </c>
      <c r="AN23" s="517">
        <f t="shared" si="12"/>
        <v>0</v>
      </c>
      <c r="AO23" s="517">
        <f t="shared" si="12"/>
        <v>0</v>
      </c>
      <c r="AP23" s="517">
        <f t="shared" si="12"/>
        <v>0</v>
      </c>
      <c r="AQ23" s="517">
        <f t="shared" si="12"/>
        <v>0</v>
      </c>
      <c r="AR23" s="517">
        <f t="shared" si="12"/>
        <v>0</v>
      </c>
      <c r="AS23" s="517">
        <f t="shared" si="12"/>
        <v>0</v>
      </c>
      <c r="AT23" s="517">
        <f t="shared" si="12"/>
        <v>0</v>
      </c>
      <c r="AU23" s="517">
        <f t="shared" si="12"/>
        <v>0</v>
      </c>
      <c r="AV23" s="517">
        <f t="shared" si="12"/>
        <v>0</v>
      </c>
      <c r="AW23" s="517">
        <f t="shared" si="12"/>
        <v>0</v>
      </c>
      <c r="AX23" s="517">
        <f t="shared" si="12"/>
        <v>0</v>
      </c>
      <c r="AY23" s="517">
        <f t="shared" si="12"/>
        <v>0</v>
      </c>
      <c r="AZ23" s="517">
        <f t="shared" si="12"/>
        <v>0</v>
      </c>
      <c r="BA23" s="517">
        <f t="shared" si="12"/>
        <v>0</v>
      </c>
      <c r="BB23" s="517">
        <f t="shared" si="12"/>
        <v>0</v>
      </c>
      <c r="BC23" s="517">
        <f t="shared" si="12"/>
        <v>0</v>
      </c>
      <c r="BD23" s="517">
        <f t="shared" si="12"/>
        <v>0</v>
      </c>
      <c r="BE23" s="538">
        <f>SUM(טבלה33[[#This Row],[1]:[50]])</f>
        <v>0</v>
      </c>
      <c r="BF23" s="538">
        <f>CEILING(טבלה33[[#This Row],[סה"כ]],25)</f>
        <v>0</v>
      </c>
      <c r="BG23" s="576" t="str">
        <f>טבלה33[[#This Row],[פרודוקטים]]</f>
        <v>צלחת אוכל חם</v>
      </c>
      <c r="BH23" s="579"/>
      <c r="BJ23" s="531"/>
      <c r="BK23" s="531"/>
    </row>
    <row r="24" spans="1:64">
      <c r="A24" s="518" t="s">
        <v>887</v>
      </c>
      <c r="B24" s="518" t="s">
        <v>577</v>
      </c>
      <c r="C24" s="518" t="s">
        <v>34</v>
      </c>
      <c r="D24" s="530" t="s">
        <v>700</v>
      </c>
      <c r="E24" s="530"/>
      <c r="F24" s="523">
        <f>2/30</f>
        <v>6.6666666666666666E-2</v>
      </c>
      <c r="G24" s="517">
        <f>ROUNDUP($F24*G$2,0)</f>
        <v>0</v>
      </c>
      <c r="H24" s="517">
        <f t="shared" si="12"/>
        <v>0</v>
      </c>
      <c r="I24" s="517">
        <f t="shared" si="12"/>
        <v>0</v>
      </c>
      <c r="J24" s="517">
        <f t="shared" si="12"/>
        <v>0</v>
      </c>
      <c r="K24" s="517">
        <f t="shared" si="12"/>
        <v>0</v>
      </c>
      <c r="L24" s="517">
        <f t="shared" si="12"/>
        <v>0</v>
      </c>
      <c r="M24" s="517">
        <f t="shared" si="12"/>
        <v>0</v>
      </c>
      <c r="N24" s="517">
        <f t="shared" si="12"/>
        <v>0</v>
      </c>
      <c r="O24" s="517">
        <f t="shared" si="12"/>
        <v>0</v>
      </c>
      <c r="P24" s="517">
        <f t="shared" si="12"/>
        <v>0</v>
      </c>
      <c r="Q24" s="517">
        <f t="shared" si="12"/>
        <v>0</v>
      </c>
      <c r="R24" s="517">
        <f t="shared" si="12"/>
        <v>0</v>
      </c>
      <c r="S24" s="517">
        <f t="shared" si="12"/>
        <v>0</v>
      </c>
      <c r="T24" s="517">
        <f t="shared" si="12"/>
        <v>0</v>
      </c>
      <c r="U24" s="517">
        <f t="shared" si="12"/>
        <v>0</v>
      </c>
      <c r="V24" s="517">
        <f t="shared" si="12"/>
        <v>0</v>
      </c>
      <c r="W24" s="517">
        <f t="shared" si="12"/>
        <v>0</v>
      </c>
      <c r="X24" s="517">
        <f t="shared" si="12"/>
        <v>0</v>
      </c>
      <c r="Y24" s="517">
        <f t="shared" si="12"/>
        <v>0</v>
      </c>
      <c r="Z24" s="517">
        <f t="shared" si="12"/>
        <v>0</v>
      </c>
      <c r="AA24" s="517">
        <f t="shared" si="12"/>
        <v>0</v>
      </c>
      <c r="AB24" s="517">
        <f t="shared" si="12"/>
        <v>0</v>
      </c>
      <c r="AC24" s="517">
        <f t="shared" si="12"/>
        <v>0</v>
      </c>
      <c r="AD24" s="517">
        <f t="shared" si="12"/>
        <v>0</v>
      </c>
      <c r="AE24" s="517">
        <f t="shared" si="12"/>
        <v>0</v>
      </c>
      <c r="AF24" s="517">
        <f t="shared" si="12"/>
        <v>0</v>
      </c>
      <c r="AG24" s="517">
        <f t="shared" si="12"/>
        <v>0</v>
      </c>
      <c r="AH24" s="517">
        <f t="shared" si="12"/>
        <v>0</v>
      </c>
      <c r="AI24" s="517">
        <f t="shared" si="12"/>
        <v>0</v>
      </c>
      <c r="AJ24" s="517">
        <f t="shared" si="12"/>
        <v>0</v>
      </c>
      <c r="AK24" s="517">
        <f t="shared" si="12"/>
        <v>0</v>
      </c>
      <c r="AL24" s="517">
        <f t="shared" si="12"/>
        <v>0</v>
      </c>
      <c r="AM24" s="517">
        <f t="shared" si="12"/>
        <v>0</v>
      </c>
      <c r="AN24" s="517">
        <f t="shared" si="12"/>
        <v>0</v>
      </c>
      <c r="AO24" s="517">
        <f t="shared" si="12"/>
        <v>0</v>
      </c>
      <c r="AP24" s="517">
        <f t="shared" si="12"/>
        <v>0</v>
      </c>
      <c r="AQ24" s="517">
        <f t="shared" si="12"/>
        <v>0</v>
      </c>
      <c r="AR24" s="517">
        <f t="shared" si="12"/>
        <v>0</v>
      </c>
      <c r="AS24" s="517">
        <f t="shared" si="12"/>
        <v>0</v>
      </c>
      <c r="AT24" s="517">
        <f t="shared" si="12"/>
        <v>0</v>
      </c>
      <c r="AU24" s="517">
        <f t="shared" si="12"/>
        <v>0</v>
      </c>
      <c r="AV24" s="517">
        <f t="shared" si="12"/>
        <v>0</v>
      </c>
      <c r="AW24" s="517">
        <f t="shared" si="12"/>
        <v>0</v>
      </c>
      <c r="AX24" s="517">
        <f t="shared" si="12"/>
        <v>0</v>
      </c>
      <c r="AY24" s="517">
        <f t="shared" si="12"/>
        <v>0</v>
      </c>
      <c r="AZ24" s="517">
        <f t="shared" si="12"/>
        <v>0</v>
      </c>
      <c r="BA24" s="517">
        <f t="shared" si="12"/>
        <v>0</v>
      </c>
      <c r="BB24" s="517">
        <f t="shared" si="12"/>
        <v>0</v>
      </c>
      <c r="BC24" s="517">
        <f t="shared" si="12"/>
        <v>0</v>
      </c>
      <c r="BD24" s="517">
        <f t="shared" si="12"/>
        <v>0</v>
      </c>
      <c r="BE24" s="538">
        <f>SUM(טבלה33[[#This Row],[1]:[50]])</f>
        <v>0</v>
      </c>
      <c r="BF24" s="538">
        <f>CEILING(טבלה33[[#This Row],[סה"כ]],25)</f>
        <v>0</v>
      </c>
      <c r="BG24" s="576" t="str">
        <f>טבלה33[[#This Row],[פרודוקטים]]</f>
        <v>שקית זבל</v>
      </c>
      <c r="BH24" s="579"/>
      <c r="BJ24" s="531"/>
      <c r="BK24" s="531"/>
    </row>
    <row r="25" spans="1:64">
      <c r="A25" s="518" t="s">
        <v>887</v>
      </c>
      <c r="B25" s="518" t="s">
        <v>578</v>
      </c>
      <c r="C25" s="518" t="s">
        <v>35</v>
      </c>
      <c r="D25" s="530" t="s">
        <v>691</v>
      </c>
      <c r="E25" s="530"/>
      <c r="F25" s="524">
        <v>8</v>
      </c>
      <c r="G25" s="517">
        <f>IF(G$2&gt;0,$F25,0)</f>
        <v>0</v>
      </c>
      <c r="H25" s="517">
        <f>IF(H$2&gt;0,טבלה33[[#This Row],[1]],0)</f>
        <v>0</v>
      </c>
      <c r="I25" s="517">
        <f>IF(I$2&gt;0,טבלה33[[#This Row],[2]],0)</f>
        <v>0</v>
      </c>
      <c r="J25" s="517">
        <f>IF(J$2&gt;0,טבלה33[[#This Row],[3]],0)</f>
        <v>0</v>
      </c>
      <c r="K25" s="517">
        <f>IF(K$2&gt;0,טבלה33[[#This Row],[4]],0)</f>
        <v>0</v>
      </c>
      <c r="L25" s="517">
        <f>IF(L$2&gt;0,טבלה33[[#This Row],[5]],0)</f>
        <v>0</v>
      </c>
      <c r="M25" s="517">
        <f>IF(M$2&gt;0,טבלה33[[#This Row],[6]],0)</f>
        <v>0</v>
      </c>
      <c r="N25" s="517">
        <f>IF(N$2&gt;0,טבלה33[[#This Row],[7]],0)</f>
        <v>0</v>
      </c>
      <c r="O25" s="517">
        <f>IF(O$2&gt;0,טבלה33[[#This Row],[8]],0)</f>
        <v>0</v>
      </c>
      <c r="P25" s="517">
        <f>IF(P$2&gt;0,טבלה33[[#This Row],[9]],0)</f>
        <v>0</v>
      </c>
      <c r="Q25" s="517">
        <f>IF(Q$2&gt;0,טבלה33[[#This Row],[10]],0)</f>
        <v>0</v>
      </c>
      <c r="R25" s="517">
        <f>IF(R$2&gt;0,טבלה33[[#This Row],[11]],0)</f>
        <v>0</v>
      </c>
      <c r="S25" s="517">
        <f>IF(S$2&gt;0,טבלה33[[#This Row],[12]],0)</f>
        <v>0</v>
      </c>
      <c r="T25" s="517">
        <f>IF(T$2&gt;0,טבלה33[[#This Row],[13]],0)</f>
        <v>0</v>
      </c>
      <c r="U25" s="517">
        <f>IF(U$2&gt;0,טבלה33[[#This Row],[14]],0)</f>
        <v>0</v>
      </c>
      <c r="V25" s="517">
        <f>IF(V$2&gt;0,טבלה33[[#This Row],[15]],0)</f>
        <v>0</v>
      </c>
      <c r="W25" s="517">
        <f>IF(W$2&gt;0,טבלה33[[#This Row],[16]],0)</f>
        <v>0</v>
      </c>
      <c r="X25" s="517">
        <f>IF(X$2&gt;0,טבלה33[[#This Row],[17]],0)</f>
        <v>0</v>
      </c>
      <c r="Y25" s="517">
        <f>IF(Y$2&gt;0,טבלה33[[#This Row],[18]],0)</f>
        <v>0</v>
      </c>
      <c r="Z25" s="517">
        <f>IF(Z$2&gt;0,טבלה33[[#This Row],[19]],0)</f>
        <v>0</v>
      </c>
      <c r="AA25" s="517">
        <f>IF(AA$2&gt;0,טבלה33[[#This Row],[20]],0)</f>
        <v>0</v>
      </c>
      <c r="AB25" s="517">
        <f>IF(AB$2&gt;0,טבלה33[[#This Row],[21]],0)</f>
        <v>0</v>
      </c>
      <c r="AC25" s="517">
        <f>IF(AC$2&gt;0,טבלה33[[#This Row],[22]],0)</f>
        <v>0</v>
      </c>
      <c r="AD25" s="517">
        <f>IF(AD$2&gt;0,טבלה33[[#This Row],[23]],0)</f>
        <v>0</v>
      </c>
      <c r="AE25" s="517">
        <f>IF(AE$2&gt;0,טבלה33[[#This Row],[24]],0)</f>
        <v>0</v>
      </c>
      <c r="AF25" s="517">
        <f>IF(AF$2&gt;0,טבלה33[[#This Row],[25]],0)</f>
        <v>0</v>
      </c>
      <c r="AG25" s="517">
        <f>IF(AG$2&gt;0,טבלה33[[#This Row],[26]],0)</f>
        <v>0</v>
      </c>
      <c r="AH25" s="517">
        <f>IF(AH$2&gt;0,טבלה33[[#This Row],[27]],0)</f>
        <v>0</v>
      </c>
      <c r="AI25" s="517">
        <f>IF(AI$2&gt;0,טבלה33[[#This Row],[28]],0)</f>
        <v>0</v>
      </c>
      <c r="AJ25" s="517">
        <f>IF(AJ$2&gt;0,טבלה33[[#This Row],[29]],0)</f>
        <v>0</v>
      </c>
      <c r="AK25" s="517">
        <f>IF(AK$2&gt;0,טבלה33[[#This Row],[30]],0)</f>
        <v>0</v>
      </c>
      <c r="AL25" s="517">
        <f>IF(AL$2&gt;0,טבלה33[[#This Row],[31]],0)</f>
        <v>0</v>
      </c>
      <c r="AM25" s="517">
        <f>IF(AM$2&gt;0,טבלה33[[#This Row],[32]],0)</f>
        <v>0</v>
      </c>
      <c r="AN25" s="517">
        <f>IF(AN$2&gt;0,טבלה33[[#This Row],[33]],0)</f>
        <v>0</v>
      </c>
      <c r="AO25" s="517">
        <f>IF(AO$2&gt;0,טבלה33[[#This Row],[34]],0)</f>
        <v>0</v>
      </c>
      <c r="AP25" s="517">
        <f>IF(AP$2&gt;0,טבלה33[[#This Row],[35]],0)</f>
        <v>0</v>
      </c>
      <c r="AQ25" s="517">
        <f>IF(AQ$2&gt;0,טבלה33[[#This Row],[36]],0)</f>
        <v>0</v>
      </c>
      <c r="AR25" s="517">
        <f>IF(AR$2&gt;0,טבלה33[[#This Row],[37]],0)</f>
        <v>0</v>
      </c>
      <c r="AS25" s="517">
        <f>IF(AS$2&gt;0,טבלה33[[#This Row],[38]],0)</f>
        <v>0</v>
      </c>
      <c r="AT25" s="517">
        <f>IF(AT$2&gt;0,טבלה33[[#This Row],[39]],0)</f>
        <v>0</v>
      </c>
      <c r="AU25" s="517">
        <f>IF(AU$2&gt;0,טבלה33[[#This Row],[40]],0)</f>
        <v>0</v>
      </c>
      <c r="AV25" s="517">
        <f>IF(AV$2&gt;0,טבלה33[[#This Row],[41]],0)</f>
        <v>0</v>
      </c>
      <c r="AW25" s="517">
        <f>IF(AW$2&gt;0,טבלה33[[#This Row],[42]],0)</f>
        <v>0</v>
      </c>
      <c r="AX25" s="517">
        <f>IF(AX$2&gt;0,טבלה33[[#This Row],[43]],0)</f>
        <v>0</v>
      </c>
      <c r="AY25" s="517">
        <f>IF(AY$2&gt;0,טבלה33[[#This Row],[44]],0)</f>
        <v>0</v>
      </c>
      <c r="AZ25" s="517">
        <f>IF(AZ$2&gt;0,טבלה33[[#This Row],[45]],0)</f>
        <v>0</v>
      </c>
      <c r="BA25" s="517">
        <f>IF(BA$2&gt;0,טבלה33[[#This Row],[46]],0)</f>
        <v>0</v>
      </c>
      <c r="BB25" s="517">
        <f>IF(BB$2&gt;0,טבלה33[[#This Row],[47]],0)</f>
        <v>0</v>
      </c>
      <c r="BC25" s="517">
        <f>IF(BC$2&gt;0,טבלה33[[#This Row],[48]],0)</f>
        <v>0</v>
      </c>
      <c r="BD25" s="517">
        <f>IF(BD$2&gt;0,טבלה33[[#This Row],[49]],0)</f>
        <v>0</v>
      </c>
      <c r="BE25" s="538">
        <f>SUM(טבלה33[[#This Row],[1]:[50]])</f>
        <v>0</v>
      </c>
      <c r="BF25" s="538">
        <f>CEILING(טבלה33[[#This Row],[סה"כ]],25)</f>
        <v>0</v>
      </c>
      <c r="BG25" s="576" t="str">
        <f>טבלה33[[#This Row],[פרודוקטים]]</f>
        <v>שקית גופיה</v>
      </c>
      <c r="BH25" s="579"/>
      <c r="BJ25" s="531"/>
      <c r="BK25" s="531"/>
    </row>
    <row r="26" spans="1:64">
      <c r="A26" s="518" t="s">
        <v>887</v>
      </c>
      <c r="B26" s="518" t="s">
        <v>580</v>
      </c>
      <c r="C26" s="518" t="s">
        <v>37</v>
      </c>
      <c r="D26" s="520" t="s">
        <v>921</v>
      </c>
      <c r="E26" s="520"/>
      <c r="F26" s="522">
        <v>1</v>
      </c>
      <c r="G26" s="517">
        <f>IF(G$2&gt;0,$F26,0)</f>
        <v>0</v>
      </c>
      <c r="H26" s="517">
        <f>IF(H$2&gt;0,טבלה33[[#This Row],[1]],0)</f>
        <v>0</v>
      </c>
      <c r="I26" s="517">
        <f>IF(I$2&gt;0,טבלה33[[#This Row],[2]],0)</f>
        <v>0</v>
      </c>
      <c r="J26" s="517">
        <f>IF(J$2&gt;0,טבלה33[[#This Row],[3]],0)</f>
        <v>0</v>
      </c>
      <c r="K26" s="517">
        <f>IF(K$2&gt;0,טבלה33[[#This Row],[4]],0)</f>
        <v>0</v>
      </c>
      <c r="L26" s="517">
        <f>IF(L$2&gt;0,טבלה33[[#This Row],[5]],0)</f>
        <v>0</v>
      </c>
      <c r="M26" s="517">
        <f>IF(M$2&gt;0,טבלה33[[#This Row],[6]],0)</f>
        <v>0</v>
      </c>
      <c r="N26" s="517">
        <f>IF(N$2&gt;0,טבלה33[[#This Row],[7]],0)</f>
        <v>0</v>
      </c>
      <c r="O26" s="517">
        <f>IF(O$2&gt;0,טבלה33[[#This Row],[8]],0)</f>
        <v>0</v>
      </c>
      <c r="P26" s="517">
        <f>IF(P$2&gt;0,טבלה33[[#This Row],[9]],0)</f>
        <v>0</v>
      </c>
      <c r="Q26" s="517">
        <f>IF(Q$2&gt;0,טבלה33[[#This Row],[10]],0)</f>
        <v>0</v>
      </c>
      <c r="R26" s="517">
        <f>IF(R$2&gt;0,טבלה33[[#This Row],[11]],0)</f>
        <v>0</v>
      </c>
      <c r="S26" s="517">
        <f>IF(S$2&gt;0,טבלה33[[#This Row],[12]],0)</f>
        <v>0</v>
      </c>
      <c r="T26" s="517">
        <f>IF(T$2&gt;0,טבלה33[[#This Row],[13]],0)</f>
        <v>0</v>
      </c>
      <c r="U26" s="517">
        <f>IF(U$2&gt;0,טבלה33[[#This Row],[14]],0)</f>
        <v>0</v>
      </c>
      <c r="V26" s="517">
        <f>IF(V$2&gt;0,טבלה33[[#This Row],[15]],0)</f>
        <v>0</v>
      </c>
      <c r="W26" s="517">
        <f>IF(W$2&gt;0,טבלה33[[#This Row],[16]],0)</f>
        <v>0</v>
      </c>
      <c r="X26" s="517">
        <f>IF(X$2&gt;0,טבלה33[[#This Row],[17]],0)</f>
        <v>0</v>
      </c>
      <c r="Y26" s="517">
        <f>IF(Y$2&gt;0,טבלה33[[#This Row],[18]],0)</f>
        <v>0</v>
      </c>
      <c r="Z26" s="517">
        <f>IF(Z$2&gt;0,טבלה33[[#This Row],[19]],0)</f>
        <v>0</v>
      </c>
      <c r="AA26" s="517">
        <f>IF(AA$2&gt;0,טבלה33[[#This Row],[20]],0)</f>
        <v>0</v>
      </c>
      <c r="AB26" s="517">
        <f>IF(AB$2&gt;0,טבלה33[[#This Row],[21]],0)</f>
        <v>0</v>
      </c>
      <c r="AC26" s="517">
        <f>IF(AC$2&gt;0,טבלה33[[#This Row],[22]],0)</f>
        <v>0</v>
      </c>
      <c r="AD26" s="517">
        <f>IF(AD$2&gt;0,טבלה33[[#This Row],[23]],0)</f>
        <v>0</v>
      </c>
      <c r="AE26" s="517">
        <f>IF(AE$2&gt;0,טבלה33[[#This Row],[24]],0)</f>
        <v>0</v>
      </c>
      <c r="AF26" s="517">
        <f>IF(AF$2&gt;0,טבלה33[[#This Row],[25]],0)</f>
        <v>0</v>
      </c>
      <c r="AG26" s="517">
        <f>IF(AG$2&gt;0,טבלה33[[#This Row],[26]],0)</f>
        <v>0</v>
      </c>
      <c r="AH26" s="517">
        <f>IF(AH$2&gt;0,טבלה33[[#This Row],[27]],0)</f>
        <v>0</v>
      </c>
      <c r="AI26" s="517">
        <f>IF(AI$2&gt;0,טבלה33[[#This Row],[28]],0)</f>
        <v>0</v>
      </c>
      <c r="AJ26" s="517">
        <f>IF(AJ$2&gt;0,טבלה33[[#This Row],[29]],0)</f>
        <v>0</v>
      </c>
      <c r="AK26" s="517">
        <f>IF(AK$2&gt;0,טבלה33[[#This Row],[30]],0)</f>
        <v>0</v>
      </c>
      <c r="AL26" s="517">
        <f>IF(AL$2&gt;0,טבלה33[[#This Row],[31]],0)</f>
        <v>0</v>
      </c>
      <c r="AM26" s="517">
        <f>IF(AM$2&gt;0,טבלה33[[#This Row],[32]],0)</f>
        <v>0</v>
      </c>
      <c r="AN26" s="517">
        <f>IF(AN$2&gt;0,טבלה33[[#This Row],[33]],0)</f>
        <v>0</v>
      </c>
      <c r="AO26" s="517">
        <f>IF(AO$2&gt;0,טבלה33[[#This Row],[34]],0)</f>
        <v>0</v>
      </c>
      <c r="AP26" s="517">
        <f>IF(AP$2&gt;0,טבלה33[[#This Row],[35]],0)</f>
        <v>0</v>
      </c>
      <c r="AQ26" s="517">
        <f>IF(AQ$2&gt;0,טבלה33[[#This Row],[36]],0)</f>
        <v>0</v>
      </c>
      <c r="AR26" s="517">
        <f>IF(AR$2&gt;0,טבלה33[[#This Row],[37]],0)</f>
        <v>0</v>
      </c>
      <c r="AS26" s="517">
        <f>IF(AS$2&gt;0,טבלה33[[#This Row],[38]],0)</f>
        <v>0</v>
      </c>
      <c r="AT26" s="517">
        <f>IF(AT$2&gt;0,טבלה33[[#This Row],[39]],0)</f>
        <v>0</v>
      </c>
      <c r="AU26" s="517">
        <f>IF(AU$2&gt;0,טבלה33[[#This Row],[40]],0)</f>
        <v>0</v>
      </c>
      <c r="AV26" s="517">
        <f>IF(AV$2&gt;0,טבלה33[[#This Row],[41]],0)</f>
        <v>0</v>
      </c>
      <c r="AW26" s="517">
        <f>IF(AW$2&gt;0,טבלה33[[#This Row],[42]],0)</f>
        <v>0</v>
      </c>
      <c r="AX26" s="517">
        <f>IF(AX$2&gt;0,טבלה33[[#This Row],[43]],0)</f>
        <v>0</v>
      </c>
      <c r="AY26" s="517">
        <f>IF(AY$2&gt;0,טבלה33[[#This Row],[44]],0)</f>
        <v>0</v>
      </c>
      <c r="AZ26" s="517">
        <f>IF(AZ$2&gt;0,טבלה33[[#This Row],[45]],0)</f>
        <v>0</v>
      </c>
      <c r="BA26" s="517">
        <f>IF(BA$2&gt;0,טבלה33[[#This Row],[46]],0)</f>
        <v>0</v>
      </c>
      <c r="BB26" s="517">
        <f>IF(BB$2&gt;0,טבלה33[[#This Row],[47]],0)</f>
        <v>0</v>
      </c>
      <c r="BC26" s="517">
        <f>IF(BC$2&gt;0,טבלה33[[#This Row],[48]],0)</f>
        <v>0</v>
      </c>
      <c r="BD26" s="517">
        <f>IF(BD$2&gt;0,טבלה33[[#This Row],[49]],0)</f>
        <v>0</v>
      </c>
      <c r="BE26" s="538">
        <f>SUM(טבלה33[[#This Row],[1]:[50]])</f>
        <v>0</v>
      </c>
      <c r="BF26" s="538">
        <f>טבלה33[[#This Row],[סה"כ]]</f>
        <v>0</v>
      </c>
      <c r="BG26" s="576" t="str">
        <f>טבלה33[[#This Row],[פרודוקטים]]</f>
        <v>נייר סופג</v>
      </c>
      <c r="BH26" s="579"/>
      <c r="BJ26" s="531"/>
      <c r="BK26" s="531"/>
    </row>
    <row r="27" spans="1:64">
      <c r="D27" s="520"/>
      <c r="E27" s="520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39"/>
      <c r="BF27" s="539"/>
      <c r="BJ27" s="531"/>
      <c r="BK27" s="531"/>
    </row>
    <row r="28" spans="1:64">
      <c r="A28" s="518" t="s">
        <v>172</v>
      </c>
      <c r="B28" s="518" t="s">
        <v>487</v>
      </c>
      <c r="C28" s="526" t="s">
        <v>171</v>
      </c>
      <c r="D28" s="527" t="s">
        <v>10</v>
      </c>
      <c r="E28" s="527" t="s">
        <v>488</v>
      </c>
      <c r="F28" s="525" t="s">
        <v>634</v>
      </c>
      <c r="G28" s="528" t="s">
        <v>635</v>
      </c>
      <c r="H28" s="529" t="s">
        <v>636</v>
      </c>
      <c r="I28" s="528" t="s">
        <v>637</v>
      </c>
      <c r="J28" s="529" t="s">
        <v>638</v>
      </c>
      <c r="K28" s="528" t="s">
        <v>639</v>
      </c>
      <c r="L28" s="529" t="s">
        <v>640</v>
      </c>
      <c r="M28" s="528" t="s">
        <v>641</v>
      </c>
      <c r="N28" s="529" t="s">
        <v>642</v>
      </c>
      <c r="O28" s="528" t="s">
        <v>643</v>
      </c>
      <c r="P28" s="529" t="s">
        <v>644</v>
      </c>
      <c r="Q28" s="528" t="s">
        <v>645</v>
      </c>
      <c r="R28" s="529" t="s">
        <v>646</v>
      </c>
      <c r="S28" s="528" t="s">
        <v>647</v>
      </c>
      <c r="T28" s="529" t="s">
        <v>648</v>
      </c>
      <c r="U28" s="528" t="s">
        <v>649</v>
      </c>
      <c r="V28" s="529" t="s">
        <v>650</v>
      </c>
      <c r="W28" s="528" t="s">
        <v>651</v>
      </c>
      <c r="X28" s="529" t="s">
        <v>652</v>
      </c>
      <c r="Y28" s="528" t="s">
        <v>653</v>
      </c>
      <c r="Z28" s="529" t="s">
        <v>654</v>
      </c>
      <c r="AA28" s="528" t="s">
        <v>655</v>
      </c>
      <c r="AB28" s="529" t="s">
        <v>656</v>
      </c>
      <c r="AC28" s="528" t="s">
        <v>657</v>
      </c>
      <c r="AD28" s="529" t="s">
        <v>658</v>
      </c>
      <c r="AE28" s="528" t="s">
        <v>659</v>
      </c>
      <c r="AF28" s="529" t="s">
        <v>660</v>
      </c>
      <c r="AG28" s="528" t="s">
        <v>661</v>
      </c>
      <c r="AH28" s="529" t="s">
        <v>662</v>
      </c>
      <c r="AI28" s="528" t="s">
        <v>698</v>
      </c>
      <c r="AJ28" s="529" t="s">
        <v>663</v>
      </c>
      <c r="AK28" s="528" t="s">
        <v>664</v>
      </c>
      <c r="AL28" s="529" t="s">
        <v>665</v>
      </c>
      <c r="AM28" s="528" t="s">
        <v>666</v>
      </c>
      <c r="AN28" s="529" t="s">
        <v>699</v>
      </c>
      <c r="AO28" s="528" t="s">
        <v>749</v>
      </c>
      <c r="AP28" s="529" t="s">
        <v>750</v>
      </c>
      <c r="AQ28" s="528" t="s">
        <v>751</v>
      </c>
      <c r="AR28" s="529" t="s">
        <v>752</v>
      </c>
      <c r="AS28" s="528" t="s">
        <v>753</v>
      </c>
      <c r="AT28" s="529" t="s">
        <v>754</v>
      </c>
      <c r="AU28" s="528" t="s">
        <v>755</v>
      </c>
      <c r="AV28" s="529" t="s">
        <v>748</v>
      </c>
      <c r="AW28" s="528" t="s">
        <v>756</v>
      </c>
      <c r="AX28" s="529" t="s">
        <v>757</v>
      </c>
      <c r="AY28" s="528" t="s">
        <v>758</v>
      </c>
      <c r="AZ28" s="529" t="s">
        <v>759</v>
      </c>
      <c r="BA28" s="528" t="s">
        <v>760</v>
      </c>
      <c r="BB28" s="529" t="s">
        <v>761</v>
      </c>
      <c r="BC28" s="528" t="s">
        <v>762</v>
      </c>
      <c r="BD28" s="529" t="s">
        <v>763</v>
      </c>
      <c r="BE28" s="528" t="s">
        <v>22</v>
      </c>
      <c r="BF28" s="528" t="s">
        <v>667</v>
      </c>
      <c r="BG28" s="535" t="s">
        <v>16</v>
      </c>
      <c r="BH28" s="536" t="s">
        <v>923</v>
      </c>
      <c r="BI28" s="537"/>
      <c r="BJ28" s="535"/>
      <c r="BK28" s="535"/>
      <c r="BL28" s="535"/>
    </row>
    <row r="29" spans="1:64">
      <c r="A29" s="518" t="s">
        <v>891</v>
      </c>
      <c r="B29" s="518">
        <v>11318</v>
      </c>
      <c r="C29" s="518" t="s">
        <v>892</v>
      </c>
      <c r="D29" s="520" t="s">
        <v>893</v>
      </c>
      <c r="E29" s="520"/>
      <c r="F29" s="523">
        <v>250</v>
      </c>
      <c r="G29" s="517">
        <f>ROUNDUP($F29*G$2,0)</f>
        <v>0</v>
      </c>
      <c r="H29" s="517">
        <f t="shared" ref="H29:BD29" si="13">ROUNDUP($F29*H$2,0)</f>
        <v>0</v>
      </c>
      <c r="I29" s="517">
        <f t="shared" si="13"/>
        <v>0</v>
      </c>
      <c r="J29" s="517">
        <f t="shared" si="13"/>
        <v>0</v>
      </c>
      <c r="K29" s="517">
        <f t="shared" si="13"/>
        <v>0</v>
      </c>
      <c r="L29" s="517">
        <f t="shared" si="13"/>
        <v>0</v>
      </c>
      <c r="M29" s="517">
        <f t="shared" si="13"/>
        <v>0</v>
      </c>
      <c r="N29" s="517">
        <f t="shared" si="13"/>
        <v>0</v>
      </c>
      <c r="O29" s="517">
        <f t="shared" si="13"/>
        <v>0</v>
      </c>
      <c r="P29" s="517">
        <f t="shared" si="13"/>
        <v>0</v>
      </c>
      <c r="Q29" s="517">
        <f t="shared" si="13"/>
        <v>0</v>
      </c>
      <c r="R29" s="517">
        <f t="shared" si="13"/>
        <v>0</v>
      </c>
      <c r="S29" s="517">
        <f t="shared" si="13"/>
        <v>0</v>
      </c>
      <c r="T29" s="517">
        <f t="shared" si="13"/>
        <v>0</v>
      </c>
      <c r="U29" s="517">
        <f t="shared" si="13"/>
        <v>0</v>
      </c>
      <c r="V29" s="517">
        <f t="shared" si="13"/>
        <v>0</v>
      </c>
      <c r="W29" s="517">
        <f t="shared" si="13"/>
        <v>0</v>
      </c>
      <c r="X29" s="517">
        <f t="shared" si="13"/>
        <v>0</v>
      </c>
      <c r="Y29" s="517">
        <f t="shared" si="13"/>
        <v>0</v>
      </c>
      <c r="Z29" s="517">
        <f t="shared" si="13"/>
        <v>0</v>
      </c>
      <c r="AA29" s="517">
        <f t="shared" si="13"/>
        <v>0</v>
      </c>
      <c r="AB29" s="517">
        <f t="shared" si="13"/>
        <v>0</v>
      </c>
      <c r="AC29" s="517">
        <f t="shared" si="13"/>
        <v>0</v>
      </c>
      <c r="AD29" s="517">
        <f t="shared" si="13"/>
        <v>0</v>
      </c>
      <c r="AE29" s="517">
        <f t="shared" si="13"/>
        <v>0</v>
      </c>
      <c r="AF29" s="517">
        <f t="shared" si="13"/>
        <v>0</v>
      </c>
      <c r="AG29" s="517">
        <f t="shared" si="13"/>
        <v>0</v>
      </c>
      <c r="AH29" s="517">
        <f t="shared" si="13"/>
        <v>0</v>
      </c>
      <c r="AI29" s="517">
        <f t="shared" si="13"/>
        <v>0</v>
      </c>
      <c r="AJ29" s="517">
        <f t="shared" si="13"/>
        <v>0</v>
      </c>
      <c r="AK29" s="517">
        <f t="shared" si="13"/>
        <v>0</v>
      </c>
      <c r="AL29" s="517">
        <f t="shared" si="13"/>
        <v>0</v>
      </c>
      <c r="AM29" s="517">
        <f t="shared" si="13"/>
        <v>0</v>
      </c>
      <c r="AN29" s="517">
        <f t="shared" si="13"/>
        <v>0</v>
      </c>
      <c r="AO29" s="517">
        <f t="shared" si="13"/>
        <v>0</v>
      </c>
      <c r="AP29" s="517">
        <f t="shared" si="13"/>
        <v>0</v>
      </c>
      <c r="AQ29" s="517">
        <f t="shared" si="13"/>
        <v>0</v>
      </c>
      <c r="AR29" s="517">
        <f t="shared" si="13"/>
        <v>0</v>
      </c>
      <c r="AS29" s="517">
        <f t="shared" si="13"/>
        <v>0</v>
      </c>
      <c r="AT29" s="517">
        <f t="shared" si="13"/>
        <v>0</v>
      </c>
      <c r="AU29" s="517">
        <f t="shared" si="13"/>
        <v>0</v>
      </c>
      <c r="AV29" s="517">
        <f t="shared" si="13"/>
        <v>0</v>
      </c>
      <c r="AW29" s="517">
        <f t="shared" si="13"/>
        <v>0</v>
      </c>
      <c r="AX29" s="517">
        <f t="shared" si="13"/>
        <v>0</v>
      </c>
      <c r="AY29" s="517">
        <f t="shared" si="13"/>
        <v>0</v>
      </c>
      <c r="AZ29" s="517">
        <f t="shared" si="13"/>
        <v>0</v>
      </c>
      <c r="BA29" s="517">
        <f t="shared" si="13"/>
        <v>0</v>
      </c>
      <c r="BB29" s="517">
        <f t="shared" si="13"/>
        <v>0</v>
      </c>
      <c r="BC29" s="517">
        <f t="shared" si="13"/>
        <v>0</v>
      </c>
      <c r="BD29" s="517">
        <f t="shared" si="13"/>
        <v>0</v>
      </c>
      <c r="BE29" s="534">
        <f>SUM(טבלה34[[#This Row],[1]:[50]])</f>
        <v>0</v>
      </c>
      <c r="BF29" s="534"/>
      <c r="BG29" s="576" t="str">
        <f>טבלה34[[#This Row],[פרודוקטים]]</f>
        <v>פירה</v>
      </c>
      <c r="BJ29" s="531"/>
      <c r="BK29" s="531"/>
      <c r="BL29" s="531"/>
    </row>
    <row r="30" spans="1:64">
      <c r="A30" s="518" t="s">
        <v>891</v>
      </c>
      <c r="B30" s="518">
        <v>10235</v>
      </c>
      <c r="C30" s="518" t="s">
        <v>113</v>
      </c>
      <c r="D30" s="520" t="s">
        <v>736</v>
      </c>
      <c r="E30" s="520"/>
      <c r="F30" s="522">
        <v>120</v>
      </c>
      <c r="G30" s="517">
        <f>ROUNDUP($F30*(G$2),0)</f>
        <v>0</v>
      </c>
      <c r="H30" s="517">
        <f t="shared" ref="H30:BD30" si="14">ROUNDUP($F30*(H$2),0)</f>
        <v>0</v>
      </c>
      <c r="I30" s="517">
        <f t="shared" si="14"/>
        <v>0</v>
      </c>
      <c r="J30" s="517">
        <f t="shared" si="14"/>
        <v>0</v>
      </c>
      <c r="K30" s="517">
        <f t="shared" si="14"/>
        <v>0</v>
      </c>
      <c r="L30" s="517">
        <f t="shared" si="14"/>
        <v>0</v>
      </c>
      <c r="M30" s="517">
        <f t="shared" si="14"/>
        <v>0</v>
      </c>
      <c r="N30" s="517">
        <f t="shared" si="14"/>
        <v>0</v>
      </c>
      <c r="O30" s="517">
        <f t="shared" si="14"/>
        <v>0</v>
      </c>
      <c r="P30" s="517">
        <f t="shared" si="14"/>
        <v>0</v>
      </c>
      <c r="Q30" s="517">
        <f t="shared" si="14"/>
        <v>0</v>
      </c>
      <c r="R30" s="517">
        <f t="shared" si="14"/>
        <v>0</v>
      </c>
      <c r="S30" s="517">
        <f t="shared" si="14"/>
        <v>0</v>
      </c>
      <c r="T30" s="517">
        <f t="shared" si="14"/>
        <v>0</v>
      </c>
      <c r="U30" s="517">
        <f t="shared" si="14"/>
        <v>0</v>
      </c>
      <c r="V30" s="517">
        <f t="shared" si="14"/>
        <v>0</v>
      </c>
      <c r="W30" s="517">
        <f t="shared" si="14"/>
        <v>0</v>
      </c>
      <c r="X30" s="517">
        <f t="shared" si="14"/>
        <v>0</v>
      </c>
      <c r="Y30" s="517">
        <f t="shared" si="14"/>
        <v>0</v>
      </c>
      <c r="Z30" s="517">
        <f t="shared" si="14"/>
        <v>0</v>
      </c>
      <c r="AA30" s="517">
        <f t="shared" si="14"/>
        <v>0</v>
      </c>
      <c r="AB30" s="517">
        <f t="shared" si="14"/>
        <v>0</v>
      </c>
      <c r="AC30" s="517">
        <f t="shared" si="14"/>
        <v>0</v>
      </c>
      <c r="AD30" s="517">
        <f t="shared" si="14"/>
        <v>0</v>
      </c>
      <c r="AE30" s="517">
        <f t="shared" si="14"/>
        <v>0</v>
      </c>
      <c r="AF30" s="517">
        <f t="shared" si="14"/>
        <v>0</v>
      </c>
      <c r="AG30" s="517">
        <f t="shared" si="14"/>
        <v>0</v>
      </c>
      <c r="AH30" s="517">
        <f t="shared" si="14"/>
        <v>0</v>
      </c>
      <c r="AI30" s="517">
        <f t="shared" si="14"/>
        <v>0</v>
      </c>
      <c r="AJ30" s="517">
        <f t="shared" si="14"/>
        <v>0</v>
      </c>
      <c r="AK30" s="517">
        <f t="shared" si="14"/>
        <v>0</v>
      </c>
      <c r="AL30" s="517">
        <f t="shared" si="14"/>
        <v>0</v>
      </c>
      <c r="AM30" s="517">
        <f t="shared" si="14"/>
        <v>0</v>
      </c>
      <c r="AN30" s="517">
        <f t="shared" si="14"/>
        <v>0</v>
      </c>
      <c r="AO30" s="517">
        <f t="shared" si="14"/>
        <v>0</v>
      </c>
      <c r="AP30" s="517">
        <f t="shared" si="14"/>
        <v>0</v>
      </c>
      <c r="AQ30" s="517">
        <f t="shared" si="14"/>
        <v>0</v>
      </c>
      <c r="AR30" s="517">
        <f t="shared" si="14"/>
        <v>0</v>
      </c>
      <c r="AS30" s="517">
        <f t="shared" si="14"/>
        <v>0</v>
      </c>
      <c r="AT30" s="517">
        <f t="shared" si="14"/>
        <v>0</v>
      </c>
      <c r="AU30" s="517">
        <f t="shared" si="14"/>
        <v>0</v>
      </c>
      <c r="AV30" s="517">
        <f t="shared" si="14"/>
        <v>0</v>
      </c>
      <c r="AW30" s="517">
        <f t="shared" si="14"/>
        <v>0</v>
      </c>
      <c r="AX30" s="517">
        <f t="shared" si="14"/>
        <v>0</v>
      </c>
      <c r="AY30" s="517">
        <f t="shared" si="14"/>
        <v>0</v>
      </c>
      <c r="AZ30" s="517">
        <f t="shared" si="14"/>
        <v>0</v>
      </c>
      <c r="BA30" s="517">
        <f t="shared" si="14"/>
        <v>0</v>
      </c>
      <c r="BB30" s="517">
        <f t="shared" si="14"/>
        <v>0</v>
      </c>
      <c r="BC30" s="517">
        <f t="shared" si="14"/>
        <v>0</v>
      </c>
      <c r="BD30" s="517">
        <f t="shared" si="14"/>
        <v>0</v>
      </c>
      <c r="BE30" s="534">
        <f>SUM(טבלה34[[#This Row],[1]:[50]])</f>
        <v>0</v>
      </c>
      <c r="BF30" s="534"/>
      <c r="BG30" s="576" t="str">
        <f>טבלה34[[#This Row],[פרודוקטים]]</f>
        <v>שווארמה</v>
      </c>
      <c r="BJ30" s="531"/>
      <c r="BK30" s="531"/>
      <c r="BL30" s="531"/>
    </row>
    <row r="31" spans="1:64">
      <c r="A31" s="518" t="s">
        <v>891</v>
      </c>
      <c r="B31" s="518">
        <v>3</v>
      </c>
      <c r="C31" s="518" t="s">
        <v>2</v>
      </c>
      <c r="D31" s="573" t="s">
        <v>681</v>
      </c>
      <c r="E31" s="573"/>
      <c r="F31" s="521">
        <f>1/4</f>
        <v>0.25</v>
      </c>
      <c r="G31" s="517">
        <f>ROUNDUP($F31*G$2,0)</f>
        <v>0</v>
      </c>
      <c r="H31" s="517">
        <f t="shared" ref="H31:BD36" si="15">ROUNDUP($F31*H$2,0)</f>
        <v>0</v>
      </c>
      <c r="I31" s="517">
        <f t="shared" si="15"/>
        <v>0</v>
      </c>
      <c r="J31" s="517">
        <f t="shared" si="15"/>
        <v>0</v>
      </c>
      <c r="K31" s="517">
        <f t="shared" si="15"/>
        <v>0</v>
      </c>
      <c r="L31" s="517">
        <f t="shared" si="15"/>
        <v>0</v>
      </c>
      <c r="M31" s="517">
        <f t="shared" si="15"/>
        <v>0</v>
      </c>
      <c r="N31" s="517">
        <f t="shared" si="15"/>
        <v>0</v>
      </c>
      <c r="O31" s="517">
        <f t="shared" si="15"/>
        <v>0</v>
      </c>
      <c r="P31" s="517">
        <f t="shared" si="15"/>
        <v>0</v>
      </c>
      <c r="Q31" s="517">
        <f t="shared" si="15"/>
        <v>0</v>
      </c>
      <c r="R31" s="517">
        <f t="shared" si="15"/>
        <v>0</v>
      </c>
      <c r="S31" s="517">
        <f t="shared" si="15"/>
        <v>0</v>
      </c>
      <c r="T31" s="517">
        <f t="shared" si="15"/>
        <v>0</v>
      </c>
      <c r="U31" s="517">
        <f t="shared" si="15"/>
        <v>0</v>
      </c>
      <c r="V31" s="517">
        <f t="shared" si="15"/>
        <v>0</v>
      </c>
      <c r="W31" s="517">
        <f t="shared" si="15"/>
        <v>0</v>
      </c>
      <c r="X31" s="517">
        <f t="shared" si="15"/>
        <v>0</v>
      </c>
      <c r="Y31" s="517">
        <f t="shared" si="15"/>
        <v>0</v>
      </c>
      <c r="Z31" s="517">
        <f t="shared" si="15"/>
        <v>0</v>
      </c>
      <c r="AA31" s="517">
        <f t="shared" si="15"/>
        <v>0</v>
      </c>
      <c r="AB31" s="517">
        <f t="shared" si="15"/>
        <v>0</v>
      </c>
      <c r="AC31" s="517">
        <f t="shared" si="15"/>
        <v>0</v>
      </c>
      <c r="AD31" s="517">
        <f t="shared" si="15"/>
        <v>0</v>
      </c>
      <c r="AE31" s="517">
        <f t="shared" si="15"/>
        <v>0</v>
      </c>
      <c r="AF31" s="517">
        <f t="shared" si="15"/>
        <v>0</v>
      </c>
      <c r="AG31" s="517">
        <f t="shared" si="15"/>
        <v>0</v>
      </c>
      <c r="AH31" s="517">
        <f t="shared" si="15"/>
        <v>0</v>
      </c>
      <c r="AI31" s="517">
        <f t="shared" si="15"/>
        <v>0</v>
      </c>
      <c r="AJ31" s="517">
        <f t="shared" si="15"/>
        <v>0</v>
      </c>
      <c r="AK31" s="517">
        <f t="shared" si="15"/>
        <v>0</v>
      </c>
      <c r="AL31" s="517">
        <f t="shared" si="15"/>
        <v>0</v>
      </c>
      <c r="AM31" s="517">
        <f t="shared" si="15"/>
        <v>0</v>
      </c>
      <c r="AN31" s="517">
        <f t="shared" si="15"/>
        <v>0</v>
      </c>
      <c r="AO31" s="517">
        <f t="shared" si="15"/>
        <v>0</v>
      </c>
      <c r="AP31" s="517">
        <f t="shared" si="15"/>
        <v>0</v>
      </c>
      <c r="AQ31" s="517">
        <f t="shared" si="15"/>
        <v>0</v>
      </c>
      <c r="AR31" s="517">
        <f t="shared" si="15"/>
        <v>0</v>
      </c>
      <c r="AS31" s="517">
        <f t="shared" si="15"/>
        <v>0</v>
      </c>
      <c r="AT31" s="517">
        <f t="shared" si="15"/>
        <v>0</v>
      </c>
      <c r="AU31" s="517">
        <f t="shared" si="15"/>
        <v>0</v>
      </c>
      <c r="AV31" s="517">
        <f t="shared" si="15"/>
        <v>0</v>
      </c>
      <c r="AW31" s="517">
        <f t="shared" si="15"/>
        <v>0</v>
      </c>
      <c r="AX31" s="517">
        <f t="shared" si="15"/>
        <v>0</v>
      </c>
      <c r="AY31" s="517">
        <f t="shared" si="15"/>
        <v>0</v>
      </c>
      <c r="AZ31" s="517">
        <f t="shared" si="15"/>
        <v>0</v>
      </c>
      <c r="BA31" s="517">
        <f t="shared" si="15"/>
        <v>0</v>
      </c>
      <c r="BB31" s="517">
        <f t="shared" si="15"/>
        <v>0</v>
      </c>
      <c r="BC31" s="517">
        <f t="shared" si="15"/>
        <v>0</v>
      </c>
      <c r="BD31" s="517">
        <f t="shared" si="15"/>
        <v>0</v>
      </c>
      <c r="BE31" s="534">
        <f>SUM(טבלה34[[#This Row],[1]:[50]])</f>
        <v>0</v>
      </c>
      <c r="BF31" s="534"/>
      <c r="BG31" s="576" t="str">
        <f>טבלה34[[#This Row],[פרודוקטים]]</f>
        <v>מלפפון</v>
      </c>
      <c r="BH31" s="532">
        <v>0</v>
      </c>
      <c r="BJ31" s="531"/>
      <c r="BK31" s="531"/>
      <c r="BL31" s="531"/>
    </row>
    <row r="32" spans="1:64">
      <c r="A32" s="518" t="s">
        <v>891</v>
      </c>
      <c r="B32" s="518">
        <v>607</v>
      </c>
      <c r="C32" s="518" t="s">
        <v>3</v>
      </c>
      <c r="D32" s="573" t="s">
        <v>681</v>
      </c>
      <c r="E32" s="573"/>
      <c r="F32" s="521">
        <f>1/4</f>
        <v>0.25</v>
      </c>
      <c r="G32" s="517">
        <f t="shared" ref="G32:V34" si="16">ROUNDUP($F32*G$2,0)</f>
        <v>0</v>
      </c>
      <c r="H32" s="517">
        <f t="shared" si="16"/>
        <v>0</v>
      </c>
      <c r="I32" s="517">
        <f t="shared" si="16"/>
        <v>0</v>
      </c>
      <c r="J32" s="517">
        <f t="shared" si="16"/>
        <v>0</v>
      </c>
      <c r="K32" s="517">
        <f t="shared" si="16"/>
        <v>0</v>
      </c>
      <c r="L32" s="517">
        <f t="shared" si="16"/>
        <v>0</v>
      </c>
      <c r="M32" s="517">
        <f t="shared" si="16"/>
        <v>0</v>
      </c>
      <c r="N32" s="517">
        <f t="shared" si="16"/>
        <v>0</v>
      </c>
      <c r="O32" s="517">
        <f t="shared" si="16"/>
        <v>0</v>
      </c>
      <c r="P32" s="517">
        <f t="shared" si="16"/>
        <v>0</v>
      </c>
      <c r="Q32" s="517">
        <f t="shared" si="16"/>
        <v>0</v>
      </c>
      <c r="R32" s="517">
        <f t="shared" si="16"/>
        <v>0</v>
      </c>
      <c r="S32" s="517">
        <f t="shared" si="16"/>
        <v>0</v>
      </c>
      <c r="T32" s="517">
        <f t="shared" si="16"/>
        <v>0</v>
      </c>
      <c r="U32" s="517">
        <f t="shared" si="16"/>
        <v>0</v>
      </c>
      <c r="V32" s="517">
        <f t="shared" si="16"/>
        <v>0</v>
      </c>
      <c r="W32" s="517">
        <f t="shared" si="15"/>
        <v>0</v>
      </c>
      <c r="X32" s="517">
        <f t="shared" si="15"/>
        <v>0</v>
      </c>
      <c r="Y32" s="517">
        <f t="shared" si="15"/>
        <v>0</v>
      </c>
      <c r="Z32" s="517">
        <f t="shared" si="15"/>
        <v>0</v>
      </c>
      <c r="AA32" s="517">
        <f t="shared" si="15"/>
        <v>0</v>
      </c>
      <c r="AB32" s="517">
        <f t="shared" si="15"/>
        <v>0</v>
      </c>
      <c r="AC32" s="517">
        <f t="shared" si="15"/>
        <v>0</v>
      </c>
      <c r="AD32" s="517">
        <f t="shared" si="15"/>
        <v>0</v>
      </c>
      <c r="AE32" s="517">
        <f t="shared" si="15"/>
        <v>0</v>
      </c>
      <c r="AF32" s="517">
        <f t="shared" si="15"/>
        <v>0</v>
      </c>
      <c r="AG32" s="517">
        <f t="shared" si="15"/>
        <v>0</v>
      </c>
      <c r="AH32" s="517">
        <f t="shared" si="15"/>
        <v>0</v>
      </c>
      <c r="AI32" s="517">
        <f t="shared" si="15"/>
        <v>0</v>
      </c>
      <c r="AJ32" s="517">
        <f t="shared" si="15"/>
        <v>0</v>
      </c>
      <c r="AK32" s="517">
        <f t="shared" si="15"/>
        <v>0</v>
      </c>
      <c r="AL32" s="517">
        <f t="shared" si="15"/>
        <v>0</v>
      </c>
      <c r="AM32" s="517">
        <f t="shared" si="15"/>
        <v>0</v>
      </c>
      <c r="AN32" s="517">
        <f t="shared" si="15"/>
        <v>0</v>
      </c>
      <c r="AO32" s="517">
        <f t="shared" si="15"/>
        <v>0</v>
      </c>
      <c r="AP32" s="517">
        <f t="shared" si="15"/>
        <v>0</v>
      </c>
      <c r="AQ32" s="517">
        <f t="shared" si="15"/>
        <v>0</v>
      </c>
      <c r="AR32" s="517">
        <f t="shared" si="15"/>
        <v>0</v>
      </c>
      <c r="AS32" s="517">
        <f t="shared" si="15"/>
        <v>0</v>
      </c>
      <c r="AT32" s="517">
        <f t="shared" si="15"/>
        <v>0</v>
      </c>
      <c r="AU32" s="517">
        <f t="shared" si="15"/>
        <v>0</v>
      </c>
      <c r="AV32" s="517">
        <f t="shared" si="15"/>
        <v>0</v>
      </c>
      <c r="AW32" s="517">
        <f t="shared" si="15"/>
        <v>0</v>
      </c>
      <c r="AX32" s="517">
        <f t="shared" si="15"/>
        <v>0</v>
      </c>
      <c r="AY32" s="517">
        <f t="shared" si="15"/>
        <v>0</v>
      </c>
      <c r="AZ32" s="517">
        <f t="shared" si="15"/>
        <v>0</v>
      </c>
      <c r="BA32" s="517">
        <f t="shared" si="15"/>
        <v>0</v>
      </c>
      <c r="BB32" s="517">
        <f t="shared" si="15"/>
        <v>0</v>
      </c>
      <c r="BC32" s="517">
        <f t="shared" si="15"/>
        <v>0</v>
      </c>
      <c r="BD32" s="517">
        <f t="shared" si="15"/>
        <v>0</v>
      </c>
      <c r="BE32" s="534">
        <f>SUM(טבלה34[[#This Row],[1]:[50]])</f>
        <v>0</v>
      </c>
      <c r="BF32" s="534"/>
      <c r="BG32" s="576" t="str">
        <f>טבלה34[[#This Row],[פרודוקטים]]</f>
        <v>עגבניה</v>
      </c>
      <c r="BH32" s="532">
        <v>0</v>
      </c>
      <c r="BJ32" s="531"/>
      <c r="BK32" s="531"/>
      <c r="BL32" s="531"/>
    </row>
    <row r="33" spans="1:64">
      <c r="A33" s="518" t="s">
        <v>891</v>
      </c>
      <c r="B33" s="518">
        <v>157</v>
      </c>
      <c r="C33" s="518" t="s">
        <v>21</v>
      </c>
      <c r="D33" s="573" t="s">
        <v>890</v>
      </c>
      <c r="E33" s="573"/>
      <c r="F33" s="523">
        <f>1/10</f>
        <v>0.1</v>
      </c>
      <c r="G33" s="517">
        <f t="shared" si="16"/>
        <v>0</v>
      </c>
      <c r="H33" s="517">
        <f t="shared" si="15"/>
        <v>0</v>
      </c>
      <c r="I33" s="517">
        <f t="shared" si="15"/>
        <v>0</v>
      </c>
      <c r="J33" s="517">
        <f t="shared" si="15"/>
        <v>0</v>
      </c>
      <c r="K33" s="517">
        <f t="shared" si="15"/>
        <v>0</v>
      </c>
      <c r="L33" s="517">
        <f t="shared" si="15"/>
        <v>0</v>
      </c>
      <c r="M33" s="517">
        <f t="shared" si="15"/>
        <v>0</v>
      </c>
      <c r="N33" s="517">
        <f t="shared" si="15"/>
        <v>0</v>
      </c>
      <c r="O33" s="517">
        <f t="shared" si="15"/>
        <v>0</v>
      </c>
      <c r="P33" s="517">
        <f t="shared" si="15"/>
        <v>0</v>
      </c>
      <c r="Q33" s="517">
        <f t="shared" si="15"/>
        <v>0</v>
      </c>
      <c r="R33" s="517">
        <f t="shared" si="15"/>
        <v>0</v>
      </c>
      <c r="S33" s="517">
        <f t="shared" si="15"/>
        <v>0</v>
      </c>
      <c r="T33" s="517">
        <f t="shared" si="15"/>
        <v>0</v>
      </c>
      <c r="U33" s="517">
        <f t="shared" si="15"/>
        <v>0</v>
      </c>
      <c r="V33" s="517">
        <f t="shared" si="15"/>
        <v>0</v>
      </c>
      <c r="W33" s="517">
        <f t="shared" si="15"/>
        <v>0</v>
      </c>
      <c r="X33" s="517">
        <f t="shared" si="15"/>
        <v>0</v>
      </c>
      <c r="Y33" s="517">
        <f t="shared" si="15"/>
        <v>0</v>
      </c>
      <c r="Z33" s="517">
        <f t="shared" si="15"/>
        <v>0</v>
      </c>
      <c r="AA33" s="517">
        <f t="shared" si="15"/>
        <v>0</v>
      </c>
      <c r="AB33" s="517">
        <f t="shared" si="15"/>
        <v>0</v>
      </c>
      <c r="AC33" s="517">
        <f t="shared" si="15"/>
        <v>0</v>
      </c>
      <c r="AD33" s="517">
        <f t="shared" si="15"/>
        <v>0</v>
      </c>
      <c r="AE33" s="517">
        <f t="shared" si="15"/>
        <v>0</v>
      </c>
      <c r="AF33" s="517">
        <f t="shared" si="15"/>
        <v>0</v>
      </c>
      <c r="AG33" s="517">
        <f t="shared" si="15"/>
        <v>0</v>
      </c>
      <c r="AH33" s="517">
        <f t="shared" si="15"/>
        <v>0</v>
      </c>
      <c r="AI33" s="517">
        <f t="shared" si="15"/>
        <v>0</v>
      </c>
      <c r="AJ33" s="517">
        <f t="shared" si="15"/>
        <v>0</v>
      </c>
      <c r="AK33" s="517">
        <f t="shared" si="15"/>
        <v>0</v>
      </c>
      <c r="AL33" s="517">
        <f t="shared" si="15"/>
        <v>0</v>
      </c>
      <c r="AM33" s="517">
        <f t="shared" si="15"/>
        <v>0</v>
      </c>
      <c r="AN33" s="517">
        <f t="shared" si="15"/>
        <v>0</v>
      </c>
      <c r="AO33" s="517">
        <f t="shared" si="15"/>
        <v>0</v>
      </c>
      <c r="AP33" s="517">
        <f t="shared" si="15"/>
        <v>0</v>
      </c>
      <c r="AQ33" s="517">
        <f t="shared" si="15"/>
        <v>0</v>
      </c>
      <c r="AR33" s="517">
        <f t="shared" si="15"/>
        <v>0</v>
      </c>
      <c r="AS33" s="517">
        <f t="shared" si="15"/>
        <v>0</v>
      </c>
      <c r="AT33" s="517">
        <f t="shared" si="15"/>
        <v>0</v>
      </c>
      <c r="AU33" s="517">
        <f t="shared" si="15"/>
        <v>0</v>
      </c>
      <c r="AV33" s="517">
        <f t="shared" si="15"/>
        <v>0</v>
      </c>
      <c r="AW33" s="517">
        <f t="shared" si="15"/>
        <v>0</v>
      </c>
      <c r="AX33" s="517">
        <f t="shared" si="15"/>
        <v>0</v>
      </c>
      <c r="AY33" s="517">
        <f t="shared" si="15"/>
        <v>0</v>
      </c>
      <c r="AZ33" s="517">
        <f t="shared" si="15"/>
        <v>0</v>
      </c>
      <c r="BA33" s="517">
        <f t="shared" si="15"/>
        <v>0</v>
      </c>
      <c r="BB33" s="517">
        <f t="shared" si="15"/>
        <v>0</v>
      </c>
      <c r="BC33" s="517">
        <f t="shared" si="15"/>
        <v>0</v>
      </c>
      <c r="BD33" s="517">
        <f t="shared" si="15"/>
        <v>0</v>
      </c>
      <c r="BE33" s="534">
        <f>SUM(טבלה34[[#This Row],[1]:[50]])</f>
        <v>0</v>
      </c>
      <c r="BF33" s="534"/>
      <c r="BG33" s="576" t="str">
        <f>טבלה34[[#This Row],[פרודוקטים]]</f>
        <v>בצל</v>
      </c>
      <c r="BH33" s="532">
        <v>0</v>
      </c>
      <c r="BJ33" s="531"/>
      <c r="BK33" s="531"/>
      <c r="BL33" s="531"/>
    </row>
    <row r="34" spans="1:64">
      <c r="A34" s="518" t="s">
        <v>891</v>
      </c>
      <c r="B34" s="518">
        <v>6975</v>
      </c>
      <c r="C34" s="518" t="s">
        <v>41</v>
      </c>
      <c r="D34" s="530" t="s">
        <v>718</v>
      </c>
      <c r="E34" s="530"/>
      <c r="F34" s="523">
        <v>3.3333333333333333E-2</v>
      </c>
      <c r="G34" s="517">
        <f t="shared" si="16"/>
        <v>0</v>
      </c>
      <c r="H34" s="517">
        <f t="shared" si="15"/>
        <v>0</v>
      </c>
      <c r="I34" s="517">
        <f t="shared" si="15"/>
        <v>0</v>
      </c>
      <c r="J34" s="517">
        <f t="shared" si="15"/>
        <v>0</v>
      </c>
      <c r="K34" s="517">
        <f t="shared" si="15"/>
        <v>0</v>
      </c>
      <c r="L34" s="517">
        <f t="shared" si="15"/>
        <v>0</v>
      </c>
      <c r="M34" s="517">
        <f t="shared" si="15"/>
        <v>0</v>
      </c>
      <c r="N34" s="517">
        <f t="shared" si="15"/>
        <v>0</v>
      </c>
      <c r="O34" s="517">
        <f t="shared" si="15"/>
        <v>0</v>
      </c>
      <c r="P34" s="517">
        <f t="shared" si="15"/>
        <v>0</v>
      </c>
      <c r="Q34" s="517">
        <f t="shared" si="15"/>
        <v>0</v>
      </c>
      <c r="R34" s="517">
        <f t="shared" si="15"/>
        <v>0</v>
      </c>
      <c r="S34" s="517">
        <f t="shared" si="15"/>
        <v>0</v>
      </c>
      <c r="T34" s="517">
        <f t="shared" si="15"/>
        <v>0</v>
      </c>
      <c r="U34" s="517">
        <f t="shared" si="15"/>
        <v>0</v>
      </c>
      <c r="V34" s="517">
        <f t="shared" si="15"/>
        <v>0</v>
      </c>
      <c r="W34" s="517">
        <f t="shared" si="15"/>
        <v>0</v>
      </c>
      <c r="X34" s="517">
        <f t="shared" si="15"/>
        <v>0</v>
      </c>
      <c r="Y34" s="517">
        <f t="shared" si="15"/>
        <v>0</v>
      </c>
      <c r="Z34" s="517">
        <f t="shared" si="15"/>
        <v>0</v>
      </c>
      <c r="AA34" s="517">
        <f t="shared" si="15"/>
        <v>0</v>
      </c>
      <c r="AB34" s="517">
        <f t="shared" si="15"/>
        <v>0</v>
      </c>
      <c r="AC34" s="517">
        <f t="shared" si="15"/>
        <v>0</v>
      </c>
      <c r="AD34" s="517">
        <f t="shared" si="15"/>
        <v>0</v>
      </c>
      <c r="AE34" s="517">
        <f t="shared" si="15"/>
        <v>0</v>
      </c>
      <c r="AF34" s="517">
        <f t="shared" si="15"/>
        <v>0</v>
      </c>
      <c r="AG34" s="517">
        <f t="shared" si="15"/>
        <v>0</v>
      </c>
      <c r="AH34" s="517">
        <f t="shared" si="15"/>
        <v>0</v>
      </c>
      <c r="AI34" s="517">
        <f t="shared" si="15"/>
        <v>0</v>
      </c>
      <c r="AJ34" s="517">
        <f t="shared" si="15"/>
        <v>0</v>
      </c>
      <c r="AK34" s="517">
        <f t="shared" si="15"/>
        <v>0</v>
      </c>
      <c r="AL34" s="517">
        <f t="shared" si="15"/>
        <v>0</v>
      </c>
      <c r="AM34" s="517">
        <f t="shared" si="15"/>
        <v>0</v>
      </c>
      <c r="AN34" s="517">
        <f t="shared" si="15"/>
        <v>0</v>
      </c>
      <c r="AO34" s="517">
        <f t="shared" si="15"/>
        <v>0</v>
      </c>
      <c r="AP34" s="517">
        <f t="shared" si="15"/>
        <v>0</v>
      </c>
      <c r="AQ34" s="517">
        <f t="shared" si="15"/>
        <v>0</v>
      </c>
      <c r="AR34" s="517">
        <f t="shared" si="15"/>
        <v>0</v>
      </c>
      <c r="AS34" s="517">
        <f t="shared" si="15"/>
        <v>0</v>
      </c>
      <c r="AT34" s="517">
        <f t="shared" si="15"/>
        <v>0</v>
      </c>
      <c r="AU34" s="517">
        <f t="shared" si="15"/>
        <v>0</v>
      </c>
      <c r="AV34" s="517">
        <f t="shared" si="15"/>
        <v>0</v>
      </c>
      <c r="AW34" s="517">
        <f t="shared" si="15"/>
        <v>0</v>
      </c>
      <c r="AX34" s="517">
        <f t="shared" si="15"/>
        <v>0</v>
      </c>
      <c r="AY34" s="517">
        <f t="shared" si="15"/>
        <v>0</v>
      </c>
      <c r="AZ34" s="517">
        <f t="shared" si="15"/>
        <v>0</v>
      </c>
      <c r="BA34" s="517">
        <f t="shared" si="15"/>
        <v>0</v>
      </c>
      <c r="BB34" s="517">
        <f t="shared" si="15"/>
        <v>0</v>
      </c>
      <c r="BC34" s="517">
        <f t="shared" si="15"/>
        <v>0</v>
      </c>
      <c r="BD34" s="517">
        <f t="shared" si="15"/>
        <v>0</v>
      </c>
      <c r="BE34" s="534">
        <f>SUM(טבלה34[[#This Row],[1]:[50]])</f>
        <v>0</v>
      </c>
      <c r="BF34" s="534"/>
      <c r="BG34" s="576" t="str">
        <f>טבלה34[[#This Row],[פרודוקטים]]</f>
        <v>טחינה</v>
      </c>
      <c r="BJ34" s="531"/>
      <c r="BK34" s="531"/>
      <c r="BL34" s="531"/>
    </row>
    <row r="35" spans="1:64">
      <c r="A35" s="518" t="s">
        <v>891</v>
      </c>
      <c r="B35" s="518">
        <v>397</v>
      </c>
      <c r="C35" s="518" t="s">
        <v>719</v>
      </c>
      <c r="D35" s="530" t="s">
        <v>702</v>
      </c>
      <c r="E35" s="530"/>
      <c r="F35" s="523">
        <f>1/10</f>
        <v>0.1</v>
      </c>
      <c r="G35" s="517">
        <f>ROUNDUP($F35*G$2,0)</f>
        <v>0</v>
      </c>
      <c r="H35" s="517">
        <f t="shared" si="15"/>
        <v>0</v>
      </c>
      <c r="I35" s="517">
        <f t="shared" si="15"/>
        <v>0</v>
      </c>
      <c r="J35" s="517">
        <f t="shared" si="15"/>
        <v>0</v>
      </c>
      <c r="K35" s="517">
        <f t="shared" si="15"/>
        <v>0</v>
      </c>
      <c r="L35" s="517">
        <f t="shared" si="15"/>
        <v>0</v>
      </c>
      <c r="M35" s="517">
        <f t="shared" si="15"/>
        <v>0</v>
      </c>
      <c r="N35" s="517">
        <f t="shared" si="15"/>
        <v>0</v>
      </c>
      <c r="O35" s="517">
        <f t="shared" si="15"/>
        <v>0</v>
      </c>
      <c r="P35" s="517">
        <f t="shared" si="15"/>
        <v>0</v>
      </c>
      <c r="Q35" s="517">
        <f t="shared" si="15"/>
        <v>0</v>
      </c>
      <c r="R35" s="517">
        <f t="shared" si="15"/>
        <v>0</v>
      </c>
      <c r="S35" s="517">
        <f t="shared" si="15"/>
        <v>0</v>
      </c>
      <c r="T35" s="517">
        <f t="shared" si="15"/>
        <v>0</v>
      </c>
      <c r="U35" s="517">
        <f t="shared" si="15"/>
        <v>0</v>
      </c>
      <c r="V35" s="517">
        <f t="shared" si="15"/>
        <v>0</v>
      </c>
      <c r="W35" s="517">
        <f t="shared" si="15"/>
        <v>0</v>
      </c>
      <c r="X35" s="517">
        <f t="shared" si="15"/>
        <v>0</v>
      </c>
      <c r="Y35" s="517">
        <f t="shared" si="15"/>
        <v>0</v>
      </c>
      <c r="Z35" s="517">
        <f t="shared" si="15"/>
        <v>0</v>
      </c>
      <c r="AA35" s="517">
        <f t="shared" si="15"/>
        <v>0</v>
      </c>
      <c r="AB35" s="517">
        <f t="shared" si="15"/>
        <v>0</v>
      </c>
      <c r="AC35" s="517">
        <f t="shared" si="15"/>
        <v>0</v>
      </c>
      <c r="AD35" s="517">
        <f t="shared" si="15"/>
        <v>0</v>
      </c>
      <c r="AE35" s="517">
        <f t="shared" si="15"/>
        <v>0</v>
      </c>
      <c r="AF35" s="517">
        <f t="shared" si="15"/>
        <v>0</v>
      </c>
      <c r="AG35" s="517">
        <f t="shared" si="15"/>
        <v>0</v>
      </c>
      <c r="AH35" s="517">
        <f t="shared" si="15"/>
        <v>0</v>
      </c>
      <c r="AI35" s="517">
        <f t="shared" si="15"/>
        <v>0</v>
      </c>
      <c r="AJ35" s="517">
        <f t="shared" si="15"/>
        <v>0</v>
      </c>
      <c r="AK35" s="517">
        <f t="shared" si="15"/>
        <v>0</v>
      </c>
      <c r="AL35" s="517">
        <f t="shared" si="15"/>
        <v>0</v>
      </c>
      <c r="AM35" s="517">
        <f t="shared" si="15"/>
        <v>0</v>
      </c>
      <c r="AN35" s="517">
        <f t="shared" si="15"/>
        <v>0</v>
      </c>
      <c r="AO35" s="517">
        <f t="shared" si="15"/>
        <v>0</v>
      </c>
      <c r="AP35" s="517">
        <f t="shared" si="15"/>
        <v>0</v>
      </c>
      <c r="AQ35" s="517">
        <f t="shared" si="15"/>
        <v>0</v>
      </c>
      <c r="AR35" s="517">
        <f t="shared" si="15"/>
        <v>0</v>
      </c>
      <c r="AS35" s="517">
        <f t="shared" si="15"/>
        <v>0</v>
      </c>
      <c r="AT35" s="517">
        <f t="shared" si="15"/>
        <v>0</v>
      </c>
      <c r="AU35" s="517">
        <f t="shared" si="15"/>
        <v>0</v>
      </c>
      <c r="AV35" s="517">
        <f t="shared" si="15"/>
        <v>0</v>
      </c>
      <c r="AW35" s="517">
        <f t="shared" si="15"/>
        <v>0</v>
      </c>
      <c r="AX35" s="517">
        <f t="shared" si="15"/>
        <v>0</v>
      </c>
      <c r="AY35" s="517">
        <f t="shared" si="15"/>
        <v>0</v>
      </c>
      <c r="AZ35" s="517">
        <f t="shared" si="15"/>
        <v>0</v>
      </c>
      <c r="BA35" s="517">
        <f t="shared" si="15"/>
        <v>0</v>
      </c>
      <c r="BB35" s="517">
        <f t="shared" si="15"/>
        <v>0</v>
      </c>
      <c r="BC35" s="517">
        <f t="shared" si="15"/>
        <v>0</v>
      </c>
      <c r="BD35" s="517">
        <f t="shared" si="15"/>
        <v>0</v>
      </c>
      <c r="BE35" s="534">
        <f>SUM(טבלה34[[#This Row],[1]:[50]])</f>
        <v>0</v>
      </c>
      <c r="BF35" s="534"/>
      <c r="BG35" s="576" t="str">
        <f>טבלה34[[#This Row],[פרודוקטים]]</f>
        <v>לימון טרי</v>
      </c>
      <c r="BJ35" s="531"/>
      <c r="BK35" s="531"/>
      <c r="BL35" s="531"/>
    </row>
    <row r="36" spans="1:64">
      <c r="A36" s="518" t="s">
        <v>891</v>
      </c>
      <c r="B36" s="518">
        <v>4531</v>
      </c>
      <c r="C36" s="518" t="s">
        <v>739</v>
      </c>
      <c r="D36" s="520" t="s">
        <v>894</v>
      </c>
      <c r="E36" s="520"/>
      <c r="F36" s="523">
        <v>3.3333333333333333E-2</v>
      </c>
      <c r="G36" s="517">
        <f t="shared" ref="G36:V37" si="17">ROUNDUP($F36*G$2,0)</f>
        <v>0</v>
      </c>
      <c r="H36" s="517">
        <f t="shared" si="17"/>
        <v>0</v>
      </c>
      <c r="I36" s="517">
        <f t="shared" si="17"/>
        <v>0</v>
      </c>
      <c r="J36" s="517">
        <f t="shared" si="17"/>
        <v>0</v>
      </c>
      <c r="K36" s="517">
        <f t="shared" si="17"/>
        <v>0</v>
      </c>
      <c r="L36" s="517">
        <f t="shared" si="17"/>
        <v>0</v>
      </c>
      <c r="M36" s="517">
        <f t="shared" si="17"/>
        <v>0</v>
      </c>
      <c r="N36" s="517">
        <f t="shared" si="17"/>
        <v>0</v>
      </c>
      <c r="O36" s="517">
        <f t="shared" si="17"/>
        <v>0</v>
      </c>
      <c r="P36" s="517">
        <f t="shared" si="17"/>
        <v>0</v>
      </c>
      <c r="Q36" s="517">
        <f t="shared" si="17"/>
        <v>0</v>
      </c>
      <c r="R36" s="517">
        <f t="shared" si="17"/>
        <v>0</v>
      </c>
      <c r="S36" s="517">
        <f t="shared" si="17"/>
        <v>0</v>
      </c>
      <c r="T36" s="517">
        <f t="shared" si="17"/>
        <v>0</v>
      </c>
      <c r="U36" s="517">
        <f t="shared" si="17"/>
        <v>0</v>
      </c>
      <c r="V36" s="517">
        <f t="shared" si="17"/>
        <v>0</v>
      </c>
      <c r="W36" s="517">
        <f t="shared" si="15"/>
        <v>0</v>
      </c>
      <c r="X36" s="517">
        <f t="shared" si="15"/>
        <v>0</v>
      </c>
      <c r="Y36" s="517">
        <f t="shared" si="15"/>
        <v>0</v>
      </c>
      <c r="Z36" s="517">
        <f t="shared" si="15"/>
        <v>0</v>
      </c>
      <c r="AA36" s="517">
        <f t="shared" si="15"/>
        <v>0</v>
      </c>
      <c r="AB36" s="517">
        <f t="shared" si="15"/>
        <v>0</v>
      </c>
      <c r="AC36" s="517">
        <f t="shared" si="15"/>
        <v>0</v>
      </c>
      <c r="AD36" s="517">
        <f t="shared" si="15"/>
        <v>0</v>
      </c>
      <c r="AE36" s="517">
        <f t="shared" si="15"/>
        <v>0</v>
      </c>
      <c r="AF36" s="517">
        <f t="shared" si="15"/>
        <v>0</v>
      </c>
      <c r="AG36" s="517">
        <f t="shared" si="15"/>
        <v>0</v>
      </c>
      <c r="AH36" s="517">
        <f t="shared" si="15"/>
        <v>0</v>
      </c>
      <c r="AI36" s="517">
        <f t="shared" si="15"/>
        <v>0</v>
      </c>
      <c r="AJ36" s="517">
        <f t="shared" si="15"/>
        <v>0</v>
      </c>
      <c r="AK36" s="517">
        <f t="shared" si="15"/>
        <v>0</v>
      </c>
      <c r="AL36" s="517">
        <f t="shared" si="15"/>
        <v>0</v>
      </c>
      <c r="AM36" s="517">
        <f t="shared" si="15"/>
        <v>0</v>
      </c>
      <c r="AN36" s="517">
        <f t="shared" si="15"/>
        <v>0</v>
      </c>
      <c r="AO36" s="517">
        <f t="shared" si="15"/>
        <v>0</v>
      </c>
      <c r="AP36" s="517">
        <f t="shared" si="15"/>
        <v>0</v>
      </c>
      <c r="AQ36" s="517">
        <f t="shared" si="15"/>
        <v>0</v>
      </c>
      <c r="AR36" s="517">
        <f t="shared" si="15"/>
        <v>0</v>
      </c>
      <c r="AS36" s="517">
        <f t="shared" si="15"/>
        <v>0</v>
      </c>
      <c r="AT36" s="517">
        <f t="shared" si="15"/>
        <v>0</v>
      </c>
      <c r="AU36" s="517">
        <f t="shared" si="15"/>
        <v>0</v>
      </c>
      <c r="AV36" s="517">
        <f t="shared" ref="H36:BD37" si="18">ROUNDUP($F36*AV$2,0)</f>
        <v>0</v>
      </c>
      <c r="AW36" s="517">
        <f t="shared" si="18"/>
        <v>0</v>
      </c>
      <c r="AX36" s="517">
        <f t="shared" si="18"/>
        <v>0</v>
      </c>
      <c r="AY36" s="517">
        <f t="shared" si="18"/>
        <v>0</v>
      </c>
      <c r="AZ36" s="517">
        <f t="shared" si="18"/>
        <v>0</v>
      </c>
      <c r="BA36" s="517">
        <f t="shared" si="18"/>
        <v>0</v>
      </c>
      <c r="BB36" s="517">
        <f t="shared" si="18"/>
        <v>0</v>
      </c>
      <c r="BC36" s="517">
        <f t="shared" si="18"/>
        <v>0</v>
      </c>
      <c r="BD36" s="517">
        <f t="shared" si="18"/>
        <v>0</v>
      </c>
      <c r="BE36" s="534">
        <f>SUM(טבלה34[[#This Row],[1]:[50]])</f>
        <v>0</v>
      </c>
      <c r="BF36" s="534"/>
      <c r="BG36" s="576" t="str">
        <f>טבלה34[[#This Row],[פרודוקטים]]</f>
        <v>פטריות משומרות</v>
      </c>
      <c r="BJ36" s="531"/>
      <c r="BK36" s="531"/>
      <c r="BL36" s="531"/>
    </row>
    <row r="37" spans="1:64">
      <c r="A37" s="518" t="s">
        <v>891</v>
      </c>
      <c r="B37" s="518">
        <v>8508</v>
      </c>
      <c r="C37" s="518" t="s">
        <v>406</v>
      </c>
      <c r="D37" s="520" t="s">
        <v>741</v>
      </c>
      <c r="E37" s="520"/>
      <c r="F37" s="523">
        <v>1</v>
      </c>
      <c r="G37" s="517">
        <f t="shared" si="17"/>
        <v>0</v>
      </c>
      <c r="H37" s="517">
        <f t="shared" si="18"/>
        <v>0</v>
      </c>
      <c r="I37" s="517">
        <f t="shared" si="18"/>
        <v>0</v>
      </c>
      <c r="J37" s="517">
        <f t="shared" si="18"/>
        <v>0</v>
      </c>
      <c r="K37" s="517">
        <f t="shared" si="18"/>
        <v>0</v>
      </c>
      <c r="L37" s="517">
        <f t="shared" si="18"/>
        <v>0</v>
      </c>
      <c r="M37" s="517">
        <f t="shared" si="18"/>
        <v>0</v>
      </c>
      <c r="N37" s="517">
        <f t="shared" si="18"/>
        <v>0</v>
      </c>
      <c r="O37" s="517">
        <f t="shared" si="18"/>
        <v>0</v>
      </c>
      <c r="P37" s="517">
        <f t="shared" si="18"/>
        <v>0</v>
      </c>
      <c r="Q37" s="517">
        <f t="shared" si="18"/>
        <v>0</v>
      </c>
      <c r="R37" s="517">
        <f t="shared" si="18"/>
        <v>0</v>
      </c>
      <c r="S37" s="517">
        <f t="shared" si="18"/>
        <v>0</v>
      </c>
      <c r="T37" s="517">
        <f t="shared" si="18"/>
        <v>0</v>
      </c>
      <c r="U37" s="517">
        <f t="shared" si="18"/>
        <v>0</v>
      </c>
      <c r="V37" s="517">
        <f t="shared" si="18"/>
        <v>0</v>
      </c>
      <c r="W37" s="517">
        <f t="shared" si="18"/>
        <v>0</v>
      </c>
      <c r="X37" s="517">
        <f t="shared" si="18"/>
        <v>0</v>
      </c>
      <c r="Y37" s="517">
        <f t="shared" si="18"/>
        <v>0</v>
      </c>
      <c r="Z37" s="517">
        <f t="shared" si="18"/>
        <v>0</v>
      </c>
      <c r="AA37" s="517">
        <f t="shared" si="18"/>
        <v>0</v>
      </c>
      <c r="AB37" s="517">
        <f t="shared" si="18"/>
        <v>0</v>
      </c>
      <c r="AC37" s="517">
        <f t="shared" si="18"/>
        <v>0</v>
      </c>
      <c r="AD37" s="517">
        <f t="shared" si="18"/>
        <v>0</v>
      </c>
      <c r="AE37" s="517">
        <f t="shared" si="18"/>
        <v>0</v>
      </c>
      <c r="AF37" s="517">
        <f t="shared" si="18"/>
        <v>0</v>
      </c>
      <c r="AG37" s="517">
        <f t="shared" si="18"/>
        <v>0</v>
      </c>
      <c r="AH37" s="517">
        <f t="shared" si="18"/>
        <v>0</v>
      </c>
      <c r="AI37" s="517">
        <f t="shared" si="18"/>
        <v>0</v>
      </c>
      <c r="AJ37" s="517">
        <f t="shared" si="18"/>
        <v>0</v>
      </c>
      <c r="AK37" s="517">
        <f t="shared" si="18"/>
        <v>0</v>
      </c>
      <c r="AL37" s="517">
        <f t="shared" si="18"/>
        <v>0</v>
      </c>
      <c r="AM37" s="517">
        <f t="shared" si="18"/>
        <v>0</v>
      </c>
      <c r="AN37" s="517">
        <f t="shared" si="18"/>
        <v>0</v>
      </c>
      <c r="AO37" s="517">
        <f t="shared" si="18"/>
        <v>0</v>
      </c>
      <c r="AP37" s="517">
        <f t="shared" si="18"/>
        <v>0</v>
      </c>
      <c r="AQ37" s="517">
        <f t="shared" si="18"/>
        <v>0</v>
      </c>
      <c r="AR37" s="517">
        <f t="shared" si="18"/>
        <v>0</v>
      </c>
      <c r="AS37" s="517">
        <f t="shared" si="18"/>
        <v>0</v>
      </c>
      <c r="AT37" s="517">
        <f t="shared" si="18"/>
        <v>0</v>
      </c>
      <c r="AU37" s="517">
        <f t="shared" si="18"/>
        <v>0</v>
      </c>
      <c r="AV37" s="517">
        <f t="shared" si="18"/>
        <v>0</v>
      </c>
      <c r="AW37" s="517">
        <f t="shared" si="18"/>
        <v>0</v>
      </c>
      <c r="AX37" s="517">
        <f t="shared" si="18"/>
        <v>0</v>
      </c>
      <c r="AY37" s="517">
        <f t="shared" si="18"/>
        <v>0</v>
      </c>
      <c r="AZ37" s="517">
        <f t="shared" si="18"/>
        <v>0</v>
      </c>
      <c r="BA37" s="517">
        <f t="shared" si="18"/>
        <v>0</v>
      </c>
      <c r="BB37" s="517">
        <f t="shared" si="18"/>
        <v>0</v>
      </c>
      <c r="BC37" s="517">
        <f t="shared" si="18"/>
        <v>0</v>
      </c>
      <c r="BD37" s="517">
        <f t="shared" si="18"/>
        <v>0</v>
      </c>
      <c r="BE37" s="534">
        <f>SUM(טבלה34[[#This Row],[1]:[50]])</f>
        <v>0</v>
      </c>
      <c r="BF37" s="534"/>
      <c r="BG37" s="576" t="str">
        <f>טבלה34[[#This Row],[פרודוקטים]]</f>
        <v>פיתה</v>
      </c>
      <c r="BJ37" s="531"/>
      <c r="BK37" s="531"/>
      <c r="BL37" s="531"/>
    </row>
    <row r="38" spans="1:64">
      <c r="A38" s="518" t="s">
        <v>891</v>
      </c>
      <c r="B38" s="518">
        <v>6173</v>
      </c>
      <c r="C38" s="518" t="s">
        <v>127</v>
      </c>
      <c r="D38" s="520" t="s">
        <v>895</v>
      </c>
      <c r="E38" s="520"/>
      <c r="F38" s="522">
        <v>120</v>
      </c>
      <c r="G38" s="517">
        <f>$F$38*(G3+G4)</f>
        <v>0</v>
      </c>
      <c r="H38" s="517">
        <f t="shared" ref="H38:BD38" si="19">$F$38*(H3+H4)</f>
        <v>0</v>
      </c>
      <c r="I38" s="517">
        <f t="shared" si="19"/>
        <v>0</v>
      </c>
      <c r="J38" s="517">
        <f t="shared" si="19"/>
        <v>0</v>
      </c>
      <c r="K38" s="517">
        <f t="shared" si="19"/>
        <v>0</v>
      </c>
      <c r="L38" s="517">
        <f t="shared" si="19"/>
        <v>0</v>
      </c>
      <c r="M38" s="517">
        <f t="shared" si="19"/>
        <v>0</v>
      </c>
      <c r="N38" s="517">
        <f t="shared" si="19"/>
        <v>0</v>
      </c>
      <c r="O38" s="517">
        <f t="shared" si="19"/>
        <v>0</v>
      </c>
      <c r="P38" s="517">
        <f t="shared" si="19"/>
        <v>0</v>
      </c>
      <c r="Q38" s="517">
        <f t="shared" si="19"/>
        <v>0</v>
      </c>
      <c r="R38" s="517">
        <f t="shared" si="19"/>
        <v>0</v>
      </c>
      <c r="S38" s="517">
        <f t="shared" si="19"/>
        <v>0</v>
      </c>
      <c r="T38" s="517">
        <f t="shared" si="19"/>
        <v>0</v>
      </c>
      <c r="U38" s="517">
        <f t="shared" si="19"/>
        <v>0</v>
      </c>
      <c r="V38" s="517">
        <f t="shared" si="19"/>
        <v>0</v>
      </c>
      <c r="W38" s="517">
        <f t="shared" si="19"/>
        <v>0</v>
      </c>
      <c r="X38" s="517">
        <f t="shared" si="19"/>
        <v>0</v>
      </c>
      <c r="Y38" s="517">
        <f t="shared" si="19"/>
        <v>0</v>
      </c>
      <c r="Z38" s="517">
        <f t="shared" si="19"/>
        <v>0</v>
      </c>
      <c r="AA38" s="517">
        <f t="shared" si="19"/>
        <v>0</v>
      </c>
      <c r="AB38" s="517">
        <f t="shared" si="19"/>
        <v>0</v>
      </c>
      <c r="AC38" s="517">
        <f t="shared" si="19"/>
        <v>0</v>
      </c>
      <c r="AD38" s="517">
        <f t="shared" si="19"/>
        <v>0</v>
      </c>
      <c r="AE38" s="517">
        <f t="shared" si="19"/>
        <v>0</v>
      </c>
      <c r="AF38" s="517">
        <f t="shared" si="19"/>
        <v>0</v>
      </c>
      <c r="AG38" s="517">
        <f t="shared" si="19"/>
        <v>0</v>
      </c>
      <c r="AH38" s="517">
        <f t="shared" si="19"/>
        <v>0</v>
      </c>
      <c r="AI38" s="517">
        <f t="shared" si="19"/>
        <v>0</v>
      </c>
      <c r="AJ38" s="517">
        <f t="shared" si="19"/>
        <v>0</v>
      </c>
      <c r="AK38" s="517">
        <f t="shared" si="19"/>
        <v>0</v>
      </c>
      <c r="AL38" s="517">
        <f t="shared" si="19"/>
        <v>0</v>
      </c>
      <c r="AM38" s="517">
        <f t="shared" si="19"/>
        <v>0</v>
      </c>
      <c r="AN38" s="517">
        <f t="shared" si="19"/>
        <v>0</v>
      </c>
      <c r="AO38" s="517">
        <f t="shared" si="19"/>
        <v>0</v>
      </c>
      <c r="AP38" s="517">
        <f t="shared" si="19"/>
        <v>0</v>
      </c>
      <c r="AQ38" s="517">
        <f t="shared" si="19"/>
        <v>0</v>
      </c>
      <c r="AR38" s="517">
        <f t="shared" si="19"/>
        <v>0</v>
      </c>
      <c r="AS38" s="517">
        <f t="shared" si="19"/>
        <v>0</v>
      </c>
      <c r="AT38" s="517">
        <f t="shared" si="19"/>
        <v>0</v>
      </c>
      <c r="AU38" s="517">
        <f t="shared" si="19"/>
        <v>0</v>
      </c>
      <c r="AV38" s="517">
        <f t="shared" si="19"/>
        <v>0</v>
      </c>
      <c r="AW38" s="517">
        <f t="shared" si="19"/>
        <v>0</v>
      </c>
      <c r="AX38" s="517">
        <f t="shared" si="19"/>
        <v>0</v>
      </c>
      <c r="AY38" s="517">
        <f t="shared" si="19"/>
        <v>0</v>
      </c>
      <c r="AZ38" s="517">
        <f t="shared" si="19"/>
        <v>0</v>
      </c>
      <c r="BA38" s="517">
        <f t="shared" si="19"/>
        <v>0</v>
      </c>
      <c r="BB38" s="517">
        <f t="shared" si="19"/>
        <v>0</v>
      </c>
      <c r="BC38" s="517">
        <f t="shared" si="19"/>
        <v>0</v>
      </c>
      <c r="BD38" s="517">
        <f t="shared" si="19"/>
        <v>0</v>
      </c>
      <c r="BE38" s="534">
        <f>SUM(טבלה34[[#This Row],[1]:[50]])</f>
        <v>0</v>
      </c>
      <c r="BF38" s="534"/>
      <c r="BG38" s="576" t="str">
        <f>טבלה34[[#This Row],[פרודוקטים]]</f>
        <v>פלאפל</v>
      </c>
      <c r="BJ38" s="531"/>
      <c r="BK38" s="531"/>
      <c r="BL38" s="531"/>
    </row>
    <row r="39" spans="1:64">
      <c r="A39" s="518" t="s">
        <v>891</v>
      </c>
      <c r="B39" s="518">
        <v>11710</v>
      </c>
      <c r="C39" s="518" t="s">
        <v>112</v>
      </c>
      <c r="D39" s="573" t="s">
        <v>629</v>
      </c>
      <c r="E39" s="573"/>
      <c r="F39" s="522">
        <v>1</v>
      </c>
      <c r="G39" s="517">
        <f>ROUNDUP($F39*G$5,0)</f>
        <v>0</v>
      </c>
      <c r="H39" s="517">
        <f t="shared" ref="H39:BD39" si="20">ROUNDUP($F39*H$5,0)</f>
        <v>0</v>
      </c>
      <c r="I39" s="517">
        <f t="shared" si="20"/>
        <v>0</v>
      </c>
      <c r="J39" s="517">
        <f t="shared" si="20"/>
        <v>0</v>
      </c>
      <c r="K39" s="517">
        <f t="shared" si="20"/>
        <v>0</v>
      </c>
      <c r="L39" s="517">
        <f t="shared" si="20"/>
        <v>0</v>
      </c>
      <c r="M39" s="517">
        <f t="shared" si="20"/>
        <v>0</v>
      </c>
      <c r="N39" s="517">
        <f t="shared" si="20"/>
        <v>0</v>
      </c>
      <c r="O39" s="517">
        <f t="shared" si="20"/>
        <v>0</v>
      </c>
      <c r="P39" s="517">
        <f t="shared" si="20"/>
        <v>0</v>
      </c>
      <c r="Q39" s="517">
        <f t="shared" si="20"/>
        <v>0</v>
      </c>
      <c r="R39" s="517">
        <f t="shared" si="20"/>
        <v>0</v>
      </c>
      <c r="S39" s="517">
        <f t="shared" si="20"/>
        <v>0</v>
      </c>
      <c r="T39" s="517">
        <f t="shared" si="20"/>
        <v>0</v>
      </c>
      <c r="U39" s="517">
        <f t="shared" si="20"/>
        <v>0</v>
      </c>
      <c r="V39" s="517">
        <f t="shared" si="20"/>
        <v>0</v>
      </c>
      <c r="W39" s="517">
        <f t="shared" si="20"/>
        <v>0</v>
      </c>
      <c r="X39" s="517">
        <f t="shared" si="20"/>
        <v>0</v>
      </c>
      <c r="Y39" s="517">
        <f t="shared" si="20"/>
        <v>0</v>
      </c>
      <c r="Z39" s="517">
        <f t="shared" si="20"/>
        <v>0</v>
      </c>
      <c r="AA39" s="517">
        <f t="shared" si="20"/>
        <v>0</v>
      </c>
      <c r="AB39" s="517">
        <f t="shared" si="20"/>
        <v>0</v>
      </c>
      <c r="AC39" s="517">
        <f t="shared" si="20"/>
        <v>0</v>
      </c>
      <c r="AD39" s="517">
        <f t="shared" si="20"/>
        <v>0</v>
      </c>
      <c r="AE39" s="517">
        <f t="shared" si="20"/>
        <v>0</v>
      </c>
      <c r="AF39" s="517">
        <f t="shared" si="20"/>
        <v>0</v>
      </c>
      <c r="AG39" s="517">
        <f t="shared" si="20"/>
        <v>0</v>
      </c>
      <c r="AH39" s="517">
        <f t="shared" si="20"/>
        <v>0</v>
      </c>
      <c r="AI39" s="517">
        <f t="shared" si="20"/>
        <v>0</v>
      </c>
      <c r="AJ39" s="517">
        <f t="shared" si="20"/>
        <v>0</v>
      </c>
      <c r="AK39" s="517">
        <f t="shared" si="20"/>
        <v>0</v>
      </c>
      <c r="AL39" s="517">
        <f t="shared" si="20"/>
        <v>0</v>
      </c>
      <c r="AM39" s="517">
        <f t="shared" si="20"/>
        <v>0</v>
      </c>
      <c r="AN39" s="517">
        <f t="shared" si="20"/>
        <v>0</v>
      </c>
      <c r="AO39" s="517">
        <f t="shared" si="20"/>
        <v>0</v>
      </c>
      <c r="AP39" s="517">
        <f t="shared" si="20"/>
        <v>0</v>
      </c>
      <c r="AQ39" s="517">
        <f t="shared" si="20"/>
        <v>0</v>
      </c>
      <c r="AR39" s="517">
        <f t="shared" si="20"/>
        <v>0</v>
      </c>
      <c r="AS39" s="517">
        <f t="shared" si="20"/>
        <v>0</v>
      </c>
      <c r="AT39" s="517">
        <f t="shared" si="20"/>
        <v>0</v>
      </c>
      <c r="AU39" s="517">
        <f t="shared" si="20"/>
        <v>0</v>
      </c>
      <c r="AV39" s="517">
        <f t="shared" si="20"/>
        <v>0</v>
      </c>
      <c r="AW39" s="517">
        <f t="shared" si="20"/>
        <v>0</v>
      </c>
      <c r="AX39" s="517">
        <f t="shared" si="20"/>
        <v>0</v>
      </c>
      <c r="AY39" s="517">
        <f t="shared" si="20"/>
        <v>0</v>
      </c>
      <c r="AZ39" s="517">
        <f t="shared" si="20"/>
        <v>0</v>
      </c>
      <c r="BA39" s="517">
        <f t="shared" si="20"/>
        <v>0</v>
      </c>
      <c r="BB39" s="517">
        <f t="shared" si="20"/>
        <v>0</v>
      </c>
      <c r="BC39" s="517">
        <f t="shared" si="20"/>
        <v>0</v>
      </c>
      <c r="BD39" s="517">
        <f t="shared" si="20"/>
        <v>0</v>
      </c>
      <c r="BE39" s="534">
        <f>SUM(טבלה34[[#This Row],[1]:[50]])</f>
        <v>0</v>
      </c>
      <c r="BF39" s="534"/>
      <c r="BG39" s="576" t="str">
        <f>טבלה34[[#This Row],[פרודוקטים]]</f>
        <v>מנה צליאק</v>
      </c>
      <c r="BJ39" s="531"/>
      <c r="BK39" s="531"/>
      <c r="BL39" s="531"/>
    </row>
    <row r="40" spans="1:64">
      <c r="A40" s="518" t="s">
        <v>891</v>
      </c>
      <c r="B40" s="518">
        <v>6689</v>
      </c>
      <c r="C40" s="518" t="s">
        <v>25</v>
      </c>
      <c r="D40" s="573" t="s">
        <v>889</v>
      </c>
      <c r="E40" s="573"/>
      <c r="F40" s="523">
        <f>1/20</f>
        <v>0.05</v>
      </c>
      <c r="G40" s="517">
        <f>ROUNDUP($F40*G$2,0)</f>
        <v>0</v>
      </c>
      <c r="H40" s="517">
        <f t="shared" ref="H40:BD40" si="21">ROUNDUP($F40*H$2,0)</f>
        <v>0</v>
      </c>
      <c r="I40" s="517">
        <f t="shared" si="21"/>
        <v>0</v>
      </c>
      <c r="J40" s="517">
        <f t="shared" si="21"/>
        <v>0</v>
      </c>
      <c r="K40" s="517">
        <f t="shared" si="21"/>
        <v>0</v>
      </c>
      <c r="L40" s="517">
        <f t="shared" si="21"/>
        <v>0</v>
      </c>
      <c r="M40" s="517">
        <f t="shared" si="21"/>
        <v>0</v>
      </c>
      <c r="N40" s="517">
        <f t="shared" si="21"/>
        <v>0</v>
      </c>
      <c r="O40" s="517">
        <f t="shared" si="21"/>
        <v>0</v>
      </c>
      <c r="P40" s="517">
        <f t="shared" si="21"/>
        <v>0</v>
      </c>
      <c r="Q40" s="517">
        <f t="shared" si="21"/>
        <v>0</v>
      </c>
      <c r="R40" s="517">
        <f t="shared" si="21"/>
        <v>0</v>
      </c>
      <c r="S40" s="517">
        <f t="shared" si="21"/>
        <v>0</v>
      </c>
      <c r="T40" s="517">
        <f t="shared" si="21"/>
        <v>0</v>
      </c>
      <c r="U40" s="517">
        <f t="shared" si="21"/>
        <v>0</v>
      </c>
      <c r="V40" s="517">
        <f t="shared" si="21"/>
        <v>0</v>
      </c>
      <c r="W40" s="517">
        <f t="shared" si="21"/>
        <v>0</v>
      </c>
      <c r="X40" s="517">
        <f t="shared" si="21"/>
        <v>0</v>
      </c>
      <c r="Y40" s="517">
        <f t="shared" si="21"/>
        <v>0</v>
      </c>
      <c r="Z40" s="517">
        <f t="shared" si="21"/>
        <v>0</v>
      </c>
      <c r="AA40" s="517">
        <f t="shared" si="21"/>
        <v>0</v>
      </c>
      <c r="AB40" s="517">
        <f t="shared" si="21"/>
        <v>0</v>
      </c>
      <c r="AC40" s="517">
        <f t="shared" si="21"/>
        <v>0</v>
      </c>
      <c r="AD40" s="517">
        <f t="shared" si="21"/>
        <v>0</v>
      </c>
      <c r="AE40" s="517">
        <f t="shared" si="21"/>
        <v>0</v>
      </c>
      <c r="AF40" s="517">
        <f t="shared" si="21"/>
        <v>0</v>
      </c>
      <c r="AG40" s="517">
        <f t="shared" si="21"/>
        <v>0</v>
      </c>
      <c r="AH40" s="517">
        <f t="shared" si="21"/>
        <v>0</v>
      </c>
      <c r="AI40" s="517">
        <f t="shared" si="21"/>
        <v>0</v>
      </c>
      <c r="AJ40" s="517">
        <f t="shared" si="21"/>
        <v>0</v>
      </c>
      <c r="AK40" s="517">
        <f t="shared" si="21"/>
        <v>0</v>
      </c>
      <c r="AL40" s="517">
        <f t="shared" si="21"/>
        <v>0</v>
      </c>
      <c r="AM40" s="517">
        <f t="shared" si="21"/>
        <v>0</v>
      </c>
      <c r="AN40" s="517">
        <f t="shared" si="21"/>
        <v>0</v>
      </c>
      <c r="AO40" s="517">
        <f t="shared" si="21"/>
        <v>0</v>
      </c>
      <c r="AP40" s="517">
        <f t="shared" si="21"/>
        <v>0</v>
      </c>
      <c r="AQ40" s="517">
        <f t="shared" si="21"/>
        <v>0</v>
      </c>
      <c r="AR40" s="517">
        <f t="shared" si="21"/>
        <v>0</v>
      </c>
      <c r="AS40" s="517">
        <f t="shared" si="21"/>
        <v>0</v>
      </c>
      <c r="AT40" s="517">
        <f t="shared" si="21"/>
        <v>0</v>
      </c>
      <c r="AU40" s="517">
        <f t="shared" si="21"/>
        <v>0</v>
      </c>
      <c r="AV40" s="517">
        <f t="shared" si="21"/>
        <v>0</v>
      </c>
      <c r="AW40" s="517">
        <f t="shared" si="21"/>
        <v>0</v>
      </c>
      <c r="AX40" s="517">
        <f t="shared" si="21"/>
        <v>0</v>
      </c>
      <c r="AY40" s="517">
        <f t="shared" si="21"/>
        <v>0</v>
      </c>
      <c r="AZ40" s="517">
        <f t="shared" si="21"/>
        <v>0</v>
      </c>
      <c r="BA40" s="517">
        <f t="shared" si="21"/>
        <v>0</v>
      </c>
      <c r="BB40" s="517">
        <f t="shared" si="21"/>
        <v>0</v>
      </c>
      <c r="BC40" s="517">
        <f t="shared" si="21"/>
        <v>0</v>
      </c>
      <c r="BD40" s="517">
        <f t="shared" si="21"/>
        <v>0</v>
      </c>
      <c r="BE40" s="534">
        <f>SUM(טבלה34[[#This Row],[1]:[50]])</f>
        <v>0</v>
      </c>
      <c r="BF40" s="534"/>
      <c r="BG40" s="576" t="str">
        <f>טבלה34[[#This Row],[פרודוקטים]]</f>
        <v>שמן</v>
      </c>
      <c r="BJ40" s="531"/>
      <c r="BK40" s="531"/>
      <c r="BL40" s="531"/>
    </row>
    <row r="41" spans="1:64">
      <c r="A41" s="518" t="s">
        <v>891</v>
      </c>
      <c r="B41" s="518">
        <v>6600</v>
      </c>
      <c r="C41" s="518" t="s">
        <v>106</v>
      </c>
      <c r="D41" s="573" t="s">
        <v>924</v>
      </c>
      <c r="E41" s="573"/>
      <c r="F41" s="523">
        <v>50</v>
      </c>
      <c r="G41" s="517">
        <f>IF(G$2&gt;0,$F41,0)</f>
        <v>0</v>
      </c>
      <c r="H41" s="517">
        <f t="shared" ref="H41:BD42" si="22">IF(H$2&gt;0,$F41,0)</f>
        <v>0</v>
      </c>
      <c r="I41" s="517">
        <f t="shared" si="22"/>
        <v>0</v>
      </c>
      <c r="J41" s="517">
        <f t="shared" si="22"/>
        <v>0</v>
      </c>
      <c r="K41" s="517">
        <f t="shared" si="22"/>
        <v>0</v>
      </c>
      <c r="L41" s="517">
        <f t="shared" si="22"/>
        <v>0</v>
      </c>
      <c r="M41" s="517">
        <f t="shared" si="22"/>
        <v>0</v>
      </c>
      <c r="N41" s="517">
        <f t="shared" si="22"/>
        <v>0</v>
      </c>
      <c r="O41" s="517">
        <f t="shared" si="22"/>
        <v>0</v>
      </c>
      <c r="P41" s="517">
        <f t="shared" si="22"/>
        <v>0</v>
      </c>
      <c r="Q41" s="517">
        <f t="shared" si="22"/>
        <v>0</v>
      </c>
      <c r="R41" s="517">
        <f t="shared" si="22"/>
        <v>0</v>
      </c>
      <c r="S41" s="517">
        <f t="shared" si="22"/>
        <v>0</v>
      </c>
      <c r="T41" s="517">
        <f t="shared" si="22"/>
        <v>0</v>
      </c>
      <c r="U41" s="517">
        <f t="shared" si="22"/>
        <v>0</v>
      </c>
      <c r="V41" s="517">
        <f t="shared" si="22"/>
        <v>0</v>
      </c>
      <c r="W41" s="517">
        <f t="shared" si="22"/>
        <v>0</v>
      </c>
      <c r="X41" s="517">
        <f t="shared" si="22"/>
        <v>0</v>
      </c>
      <c r="Y41" s="517">
        <f t="shared" si="22"/>
        <v>0</v>
      </c>
      <c r="Z41" s="517">
        <f t="shared" si="22"/>
        <v>0</v>
      </c>
      <c r="AA41" s="517">
        <f t="shared" si="22"/>
        <v>0</v>
      </c>
      <c r="AB41" s="517">
        <f t="shared" si="22"/>
        <v>0</v>
      </c>
      <c r="AC41" s="517">
        <f t="shared" si="22"/>
        <v>0</v>
      </c>
      <c r="AD41" s="517">
        <f t="shared" si="22"/>
        <v>0</v>
      </c>
      <c r="AE41" s="517">
        <f t="shared" si="22"/>
        <v>0</v>
      </c>
      <c r="AF41" s="517">
        <f t="shared" si="22"/>
        <v>0</v>
      </c>
      <c r="AG41" s="517">
        <f t="shared" si="22"/>
        <v>0</v>
      </c>
      <c r="AH41" s="517">
        <f t="shared" si="22"/>
        <v>0</v>
      </c>
      <c r="AI41" s="517">
        <f t="shared" si="22"/>
        <v>0</v>
      </c>
      <c r="AJ41" s="517">
        <f t="shared" si="22"/>
        <v>0</v>
      </c>
      <c r="AK41" s="517">
        <f t="shared" si="22"/>
        <v>0</v>
      </c>
      <c r="AL41" s="517">
        <f t="shared" si="22"/>
        <v>0</v>
      </c>
      <c r="AM41" s="517">
        <f t="shared" si="22"/>
        <v>0</v>
      </c>
      <c r="AN41" s="517">
        <f t="shared" si="22"/>
        <v>0</v>
      </c>
      <c r="AO41" s="517">
        <f t="shared" si="22"/>
        <v>0</v>
      </c>
      <c r="AP41" s="517">
        <f t="shared" si="22"/>
        <v>0</v>
      </c>
      <c r="AQ41" s="517">
        <f t="shared" si="22"/>
        <v>0</v>
      </c>
      <c r="AR41" s="517">
        <f t="shared" si="22"/>
        <v>0</v>
      </c>
      <c r="AS41" s="517">
        <f t="shared" si="22"/>
        <v>0</v>
      </c>
      <c r="AT41" s="517">
        <f t="shared" si="22"/>
        <v>0</v>
      </c>
      <c r="AU41" s="517">
        <f t="shared" si="22"/>
        <v>0</v>
      </c>
      <c r="AV41" s="517">
        <f t="shared" si="22"/>
        <v>0</v>
      </c>
      <c r="AW41" s="517">
        <f t="shared" si="22"/>
        <v>0</v>
      </c>
      <c r="AX41" s="517">
        <f t="shared" si="22"/>
        <v>0</v>
      </c>
      <c r="AY41" s="517">
        <f t="shared" si="22"/>
        <v>0</v>
      </c>
      <c r="AZ41" s="517">
        <f t="shared" si="22"/>
        <v>0</v>
      </c>
      <c r="BA41" s="517">
        <f t="shared" si="22"/>
        <v>0</v>
      </c>
      <c r="BB41" s="517">
        <f t="shared" si="22"/>
        <v>0</v>
      </c>
      <c r="BC41" s="517">
        <f t="shared" si="22"/>
        <v>0</v>
      </c>
      <c r="BD41" s="517">
        <f t="shared" si="22"/>
        <v>0</v>
      </c>
      <c r="BE41" s="534">
        <f>SUM(טבלה34[[#This Row],[1]:[50]])</f>
        <v>0</v>
      </c>
      <c r="BF41" s="538"/>
      <c r="BG41" s="576" t="str">
        <f>טבלה34[[#This Row],[פרודוקטים]]</f>
        <v>מלח</v>
      </c>
      <c r="BJ41" s="531"/>
      <c r="BK41" s="531"/>
      <c r="BL41" s="531"/>
    </row>
    <row r="42" spans="1:64">
      <c r="A42" s="518" t="s">
        <v>891</v>
      </c>
      <c r="B42" s="518">
        <v>688</v>
      </c>
      <c r="C42" s="518" t="s">
        <v>727</v>
      </c>
      <c r="D42" s="573" t="s">
        <v>925</v>
      </c>
      <c r="E42" s="573"/>
      <c r="F42" s="523">
        <v>20</v>
      </c>
      <c r="G42" s="517">
        <f>IF(G$2&gt;0,$F42,0)</f>
        <v>0</v>
      </c>
      <c r="H42" s="517">
        <f t="shared" si="22"/>
        <v>0</v>
      </c>
      <c r="I42" s="517">
        <f t="shared" si="22"/>
        <v>0</v>
      </c>
      <c r="J42" s="517">
        <f t="shared" si="22"/>
        <v>0</v>
      </c>
      <c r="K42" s="517">
        <f t="shared" si="22"/>
        <v>0</v>
      </c>
      <c r="L42" s="517">
        <f t="shared" si="22"/>
        <v>0</v>
      </c>
      <c r="M42" s="517">
        <f t="shared" si="22"/>
        <v>0</v>
      </c>
      <c r="N42" s="517">
        <f t="shared" si="22"/>
        <v>0</v>
      </c>
      <c r="O42" s="517">
        <f t="shared" si="22"/>
        <v>0</v>
      </c>
      <c r="P42" s="517">
        <f t="shared" si="22"/>
        <v>0</v>
      </c>
      <c r="Q42" s="517">
        <f t="shared" si="22"/>
        <v>0</v>
      </c>
      <c r="R42" s="517">
        <f t="shared" si="22"/>
        <v>0</v>
      </c>
      <c r="S42" s="517">
        <f t="shared" si="22"/>
        <v>0</v>
      </c>
      <c r="T42" s="517">
        <f t="shared" si="22"/>
        <v>0</v>
      </c>
      <c r="U42" s="517">
        <f t="shared" si="22"/>
        <v>0</v>
      </c>
      <c r="V42" s="517">
        <f t="shared" si="22"/>
        <v>0</v>
      </c>
      <c r="W42" s="517">
        <f t="shared" si="22"/>
        <v>0</v>
      </c>
      <c r="X42" s="517">
        <f t="shared" si="22"/>
        <v>0</v>
      </c>
      <c r="Y42" s="517">
        <f t="shared" si="22"/>
        <v>0</v>
      </c>
      <c r="Z42" s="517">
        <f t="shared" si="22"/>
        <v>0</v>
      </c>
      <c r="AA42" s="517">
        <f t="shared" si="22"/>
        <v>0</v>
      </c>
      <c r="AB42" s="517">
        <f t="shared" si="22"/>
        <v>0</v>
      </c>
      <c r="AC42" s="517">
        <f t="shared" si="22"/>
        <v>0</v>
      </c>
      <c r="AD42" s="517">
        <f t="shared" si="22"/>
        <v>0</v>
      </c>
      <c r="AE42" s="517">
        <f t="shared" si="22"/>
        <v>0</v>
      </c>
      <c r="AF42" s="517">
        <f t="shared" si="22"/>
        <v>0</v>
      </c>
      <c r="AG42" s="517">
        <f t="shared" si="22"/>
        <v>0</v>
      </c>
      <c r="AH42" s="517">
        <f t="shared" si="22"/>
        <v>0</v>
      </c>
      <c r="AI42" s="517">
        <f t="shared" si="22"/>
        <v>0</v>
      </c>
      <c r="AJ42" s="517">
        <f t="shared" si="22"/>
        <v>0</v>
      </c>
      <c r="AK42" s="517">
        <f t="shared" si="22"/>
        <v>0</v>
      </c>
      <c r="AL42" s="517">
        <f t="shared" si="22"/>
        <v>0</v>
      </c>
      <c r="AM42" s="517">
        <f t="shared" si="22"/>
        <v>0</v>
      </c>
      <c r="AN42" s="517">
        <f t="shared" si="22"/>
        <v>0</v>
      </c>
      <c r="AO42" s="517">
        <f t="shared" si="22"/>
        <v>0</v>
      </c>
      <c r="AP42" s="517">
        <f t="shared" si="22"/>
        <v>0</v>
      </c>
      <c r="AQ42" s="517">
        <f t="shared" si="22"/>
        <v>0</v>
      </c>
      <c r="AR42" s="517">
        <f t="shared" si="22"/>
        <v>0</v>
      </c>
      <c r="AS42" s="517">
        <f t="shared" si="22"/>
        <v>0</v>
      </c>
      <c r="AT42" s="517">
        <f t="shared" si="22"/>
        <v>0</v>
      </c>
      <c r="AU42" s="517">
        <f t="shared" si="22"/>
        <v>0</v>
      </c>
      <c r="AV42" s="517">
        <f t="shared" si="22"/>
        <v>0</v>
      </c>
      <c r="AW42" s="517">
        <f t="shared" si="22"/>
        <v>0</v>
      </c>
      <c r="AX42" s="517">
        <f t="shared" si="22"/>
        <v>0</v>
      </c>
      <c r="AY42" s="517">
        <f t="shared" si="22"/>
        <v>0</v>
      </c>
      <c r="AZ42" s="517">
        <f t="shared" si="22"/>
        <v>0</v>
      </c>
      <c r="BA42" s="517">
        <f t="shared" si="22"/>
        <v>0</v>
      </c>
      <c r="BB42" s="517">
        <f t="shared" si="22"/>
        <v>0</v>
      </c>
      <c r="BC42" s="517">
        <f t="shared" si="22"/>
        <v>0</v>
      </c>
      <c r="BD42" s="517">
        <f t="shared" si="22"/>
        <v>0</v>
      </c>
      <c r="BE42" s="534">
        <f>SUM(טבלה34[[#This Row],[1]:[50]])</f>
        <v>0</v>
      </c>
      <c r="BF42" s="538"/>
      <c r="BG42" s="576" t="str">
        <f>טבלה34[[#This Row],[פרודוקטים]]</f>
        <v>פלפל</v>
      </c>
      <c r="BJ42" s="531"/>
      <c r="BK42" s="531"/>
      <c r="BL42" s="531"/>
    </row>
    <row r="43" spans="1:64">
      <c r="A43" s="518" t="s">
        <v>891</v>
      </c>
      <c r="B43" s="518" t="s">
        <v>574</v>
      </c>
      <c r="C43" s="518" t="s">
        <v>32</v>
      </c>
      <c r="D43" s="573" t="s">
        <v>729</v>
      </c>
      <c r="E43" s="573"/>
      <c r="F43" s="522">
        <v>1.2</v>
      </c>
      <c r="G43" s="517">
        <f>ROUNDUP($F43*G$2,0)</f>
        <v>0</v>
      </c>
      <c r="H43" s="517">
        <f t="shared" ref="H43:BD46" si="23">ROUNDUP($F43*H$2,0)</f>
        <v>0</v>
      </c>
      <c r="I43" s="517">
        <f t="shared" si="23"/>
        <v>0</v>
      </c>
      <c r="J43" s="517">
        <f t="shared" si="23"/>
        <v>0</v>
      </c>
      <c r="K43" s="517">
        <f t="shared" si="23"/>
        <v>0</v>
      </c>
      <c r="L43" s="517">
        <f t="shared" si="23"/>
        <v>0</v>
      </c>
      <c r="M43" s="517">
        <f t="shared" si="23"/>
        <v>0</v>
      </c>
      <c r="N43" s="517">
        <f t="shared" si="23"/>
        <v>0</v>
      </c>
      <c r="O43" s="517">
        <f t="shared" si="23"/>
        <v>0</v>
      </c>
      <c r="P43" s="517">
        <f t="shared" si="23"/>
        <v>0</v>
      </c>
      <c r="Q43" s="517">
        <f t="shared" si="23"/>
        <v>0</v>
      </c>
      <c r="R43" s="517">
        <f t="shared" si="23"/>
        <v>0</v>
      </c>
      <c r="S43" s="517">
        <f t="shared" si="23"/>
        <v>0</v>
      </c>
      <c r="T43" s="517">
        <f t="shared" si="23"/>
        <v>0</v>
      </c>
      <c r="U43" s="517">
        <f t="shared" si="23"/>
        <v>0</v>
      </c>
      <c r="V43" s="517">
        <f t="shared" si="23"/>
        <v>0</v>
      </c>
      <c r="W43" s="517">
        <f t="shared" si="23"/>
        <v>0</v>
      </c>
      <c r="X43" s="517">
        <f t="shared" si="23"/>
        <v>0</v>
      </c>
      <c r="Y43" s="517">
        <f t="shared" si="23"/>
        <v>0</v>
      </c>
      <c r="Z43" s="517">
        <f t="shared" si="23"/>
        <v>0</v>
      </c>
      <c r="AA43" s="517">
        <f t="shared" si="23"/>
        <v>0</v>
      </c>
      <c r="AB43" s="517">
        <f t="shared" si="23"/>
        <v>0</v>
      </c>
      <c r="AC43" s="517">
        <f t="shared" si="23"/>
        <v>0</v>
      </c>
      <c r="AD43" s="517">
        <f t="shared" si="23"/>
        <v>0</v>
      </c>
      <c r="AE43" s="517">
        <f t="shared" si="23"/>
        <v>0</v>
      </c>
      <c r="AF43" s="517">
        <f t="shared" si="23"/>
        <v>0</v>
      </c>
      <c r="AG43" s="517">
        <f t="shared" si="23"/>
        <v>0</v>
      </c>
      <c r="AH43" s="517">
        <f t="shared" si="23"/>
        <v>0</v>
      </c>
      <c r="AI43" s="517">
        <f t="shared" si="23"/>
        <v>0</v>
      </c>
      <c r="AJ43" s="517">
        <f t="shared" si="23"/>
        <v>0</v>
      </c>
      <c r="AK43" s="517">
        <f t="shared" si="23"/>
        <v>0</v>
      </c>
      <c r="AL43" s="517">
        <f t="shared" si="23"/>
        <v>0</v>
      </c>
      <c r="AM43" s="517">
        <f t="shared" si="23"/>
        <v>0</v>
      </c>
      <c r="AN43" s="517">
        <f t="shared" si="23"/>
        <v>0</v>
      </c>
      <c r="AO43" s="517">
        <f t="shared" si="23"/>
        <v>0</v>
      </c>
      <c r="AP43" s="517">
        <f t="shared" si="23"/>
        <v>0</v>
      </c>
      <c r="AQ43" s="517">
        <f t="shared" si="23"/>
        <v>0</v>
      </c>
      <c r="AR43" s="517">
        <f t="shared" si="23"/>
        <v>0</v>
      </c>
      <c r="AS43" s="517">
        <f t="shared" si="23"/>
        <v>0</v>
      </c>
      <c r="AT43" s="517">
        <f t="shared" si="23"/>
        <v>0</v>
      </c>
      <c r="AU43" s="517">
        <f t="shared" si="23"/>
        <v>0</v>
      </c>
      <c r="AV43" s="517">
        <f t="shared" si="23"/>
        <v>0</v>
      </c>
      <c r="AW43" s="517">
        <f t="shared" si="23"/>
        <v>0</v>
      </c>
      <c r="AX43" s="517">
        <f t="shared" si="23"/>
        <v>0</v>
      </c>
      <c r="AY43" s="517">
        <f t="shared" si="23"/>
        <v>0</v>
      </c>
      <c r="AZ43" s="517">
        <f t="shared" si="23"/>
        <v>0</v>
      </c>
      <c r="BA43" s="517">
        <f t="shared" si="23"/>
        <v>0</v>
      </c>
      <c r="BB43" s="517">
        <f t="shared" si="23"/>
        <v>0</v>
      </c>
      <c r="BC43" s="517">
        <f t="shared" si="23"/>
        <v>0</v>
      </c>
      <c r="BD43" s="517">
        <f t="shared" si="23"/>
        <v>0</v>
      </c>
      <c r="BE43" s="534">
        <f>SUM(טבלה34[[#This Row],[1]:[50]])</f>
        <v>0</v>
      </c>
      <c r="BF43" s="534"/>
      <c r="BG43" s="576" t="str">
        <f>טבלה34[[#This Row],[פרודוקטים]]</f>
        <v>סכין</v>
      </c>
      <c r="BL43" s="531"/>
    </row>
    <row r="44" spans="1:64">
      <c r="A44" s="518" t="s">
        <v>891</v>
      </c>
      <c r="B44" s="518" t="s">
        <v>575</v>
      </c>
      <c r="C44" s="518" t="s">
        <v>33</v>
      </c>
      <c r="D44" s="573" t="s">
        <v>729</v>
      </c>
      <c r="E44" s="573"/>
      <c r="F44" s="522">
        <v>1.2</v>
      </c>
      <c r="G44" s="517">
        <f>ROUNDUP($F44*G$2,0)</f>
        <v>0</v>
      </c>
      <c r="H44" s="517">
        <f t="shared" si="23"/>
        <v>0</v>
      </c>
      <c r="I44" s="517">
        <f t="shared" si="23"/>
        <v>0</v>
      </c>
      <c r="J44" s="517">
        <f t="shared" si="23"/>
        <v>0</v>
      </c>
      <c r="K44" s="517">
        <f t="shared" si="23"/>
        <v>0</v>
      </c>
      <c r="L44" s="517">
        <f t="shared" si="23"/>
        <v>0</v>
      </c>
      <c r="M44" s="517">
        <f t="shared" si="23"/>
        <v>0</v>
      </c>
      <c r="N44" s="517">
        <f t="shared" si="23"/>
        <v>0</v>
      </c>
      <c r="O44" s="517">
        <f t="shared" si="23"/>
        <v>0</v>
      </c>
      <c r="P44" s="517">
        <f t="shared" si="23"/>
        <v>0</v>
      </c>
      <c r="Q44" s="517">
        <f t="shared" si="23"/>
        <v>0</v>
      </c>
      <c r="R44" s="517">
        <f t="shared" si="23"/>
        <v>0</v>
      </c>
      <c r="S44" s="517">
        <f t="shared" si="23"/>
        <v>0</v>
      </c>
      <c r="T44" s="517">
        <f t="shared" si="23"/>
        <v>0</v>
      </c>
      <c r="U44" s="517">
        <f t="shared" si="23"/>
        <v>0</v>
      </c>
      <c r="V44" s="517">
        <f t="shared" si="23"/>
        <v>0</v>
      </c>
      <c r="W44" s="517">
        <f t="shared" si="23"/>
        <v>0</v>
      </c>
      <c r="X44" s="517">
        <f t="shared" si="23"/>
        <v>0</v>
      </c>
      <c r="Y44" s="517">
        <f t="shared" si="23"/>
        <v>0</v>
      </c>
      <c r="Z44" s="517">
        <f t="shared" si="23"/>
        <v>0</v>
      </c>
      <c r="AA44" s="517">
        <f t="shared" si="23"/>
        <v>0</v>
      </c>
      <c r="AB44" s="517">
        <f t="shared" si="23"/>
        <v>0</v>
      </c>
      <c r="AC44" s="517">
        <f t="shared" si="23"/>
        <v>0</v>
      </c>
      <c r="AD44" s="517">
        <f t="shared" si="23"/>
        <v>0</v>
      </c>
      <c r="AE44" s="517">
        <f t="shared" si="23"/>
        <v>0</v>
      </c>
      <c r="AF44" s="517">
        <f t="shared" si="23"/>
        <v>0</v>
      </c>
      <c r="AG44" s="517">
        <f t="shared" si="23"/>
        <v>0</v>
      </c>
      <c r="AH44" s="517">
        <f t="shared" si="23"/>
        <v>0</v>
      </c>
      <c r="AI44" s="517">
        <f t="shared" si="23"/>
        <v>0</v>
      </c>
      <c r="AJ44" s="517">
        <f t="shared" si="23"/>
        <v>0</v>
      </c>
      <c r="AK44" s="517">
        <f t="shared" si="23"/>
        <v>0</v>
      </c>
      <c r="AL44" s="517">
        <f t="shared" si="23"/>
        <v>0</v>
      </c>
      <c r="AM44" s="517">
        <f t="shared" si="23"/>
        <v>0</v>
      </c>
      <c r="AN44" s="517">
        <f t="shared" si="23"/>
        <v>0</v>
      </c>
      <c r="AO44" s="517">
        <f t="shared" si="23"/>
        <v>0</v>
      </c>
      <c r="AP44" s="517">
        <f t="shared" si="23"/>
        <v>0</v>
      </c>
      <c r="AQ44" s="517">
        <f t="shared" si="23"/>
        <v>0</v>
      </c>
      <c r="AR44" s="517">
        <f t="shared" si="23"/>
        <v>0</v>
      </c>
      <c r="AS44" s="517">
        <f t="shared" si="23"/>
        <v>0</v>
      </c>
      <c r="AT44" s="517">
        <f t="shared" si="23"/>
        <v>0</v>
      </c>
      <c r="AU44" s="517">
        <f t="shared" si="23"/>
        <v>0</v>
      </c>
      <c r="AV44" s="517">
        <f t="shared" si="23"/>
        <v>0</v>
      </c>
      <c r="AW44" s="517">
        <f t="shared" si="23"/>
        <v>0</v>
      </c>
      <c r="AX44" s="517">
        <f t="shared" si="23"/>
        <v>0</v>
      </c>
      <c r="AY44" s="517">
        <f t="shared" si="23"/>
        <v>0</v>
      </c>
      <c r="AZ44" s="517">
        <f t="shared" si="23"/>
        <v>0</v>
      </c>
      <c r="BA44" s="517">
        <f t="shared" si="23"/>
        <v>0</v>
      </c>
      <c r="BB44" s="517">
        <f t="shared" si="23"/>
        <v>0</v>
      </c>
      <c r="BC44" s="517">
        <f t="shared" si="23"/>
        <v>0</v>
      </c>
      <c r="BD44" s="517">
        <f t="shared" si="23"/>
        <v>0</v>
      </c>
      <c r="BE44" s="534">
        <f>SUM(טבלה34[[#This Row],[1]:[50]])</f>
        <v>0</v>
      </c>
      <c r="BF44" s="534"/>
      <c r="BG44" s="576" t="str">
        <f>טבלה34[[#This Row],[פרודוקטים]]</f>
        <v>מזלג</v>
      </c>
      <c r="BK44" s="531"/>
      <c r="BL44" s="531"/>
    </row>
    <row r="45" spans="1:64">
      <c r="A45" s="518" t="s">
        <v>891</v>
      </c>
      <c r="B45" s="518" t="s">
        <v>570</v>
      </c>
      <c r="C45" s="518" t="s">
        <v>29</v>
      </c>
      <c r="D45" s="573" t="s">
        <v>729</v>
      </c>
      <c r="E45" s="573"/>
      <c r="F45" s="522">
        <v>1.2</v>
      </c>
      <c r="G45" s="517">
        <f>ROUNDUP($F45*G$2,0)</f>
        <v>0</v>
      </c>
      <c r="H45" s="517">
        <f t="shared" si="23"/>
        <v>0</v>
      </c>
      <c r="I45" s="517">
        <f t="shared" si="23"/>
        <v>0</v>
      </c>
      <c r="J45" s="517">
        <f t="shared" si="23"/>
        <v>0</v>
      </c>
      <c r="K45" s="517">
        <f t="shared" si="23"/>
        <v>0</v>
      </c>
      <c r="L45" s="517">
        <f t="shared" si="23"/>
        <v>0</v>
      </c>
      <c r="M45" s="517">
        <f t="shared" si="23"/>
        <v>0</v>
      </c>
      <c r="N45" s="517">
        <f t="shared" si="23"/>
        <v>0</v>
      </c>
      <c r="O45" s="517">
        <f t="shared" si="23"/>
        <v>0</v>
      </c>
      <c r="P45" s="517">
        <f t="shared" si="23"/>
        <v>0</v>
      </c>
      <c r="Q45" s="517">
        <f t="shared" si="23"/>
        <v>0</v>
      </c>
      <c r="R45" s="517">
        <f t="shared" si="23"/>
        <v>0</v>
      </c>
      <c r="S45" s="517">
        <f t="shared" si="23"/>
        <v>0</v>
      </c>
      <c r="T45" s="517">
        <f t="shared" si="23"/>
        <v>0</v>
      </c>
      <c r="U45" s="517">
        <f t="shared" si="23"/>
        <v>0</v>
      </c>
      <c r="V45" s="517">
        <f t="shared" si="23"/>
        <v>0</v>
      </c>
      <c r="W45" s="517">
        <f t="shared" si="23"/>
        <v>0</v>
      </c>
      <c r="X45" s="517">
        <f t="shared" si="23"/>
        <v>0</v>
      </c>
      <c r="Y45" s="517">
        <f t="shared" si="23"/>
        <v>0</v>
      </c>
      <c r="Z45" s="517">
        <f t="shared" si="23"/>
        <v>0</v>
      </c>
      <c r="AA45" s="517">
        <f t="shared" si="23"/>
        <v>0</v>
      </c>
      <c r="AB45" s="517">
        <f t="shared" si="23"/>
        <v>0</v>
      </c>
      <c r="AC45" s="517">
        <f t="shared" si="23"/>
        <v>0</v>
      </c>
      <c r="AD45" s="517">
        <f t="shared" si="23"/>
        <v>0</v>
      </c>
      <c r="AE45" s="517">
        <f t="shared" si="23"/>
        <v>0</v>
      </c>
      <c r="AF45" s="517">
        <f t="shared" si="23"/>
        <v>0</v>
      </c>
      <c r="AG45" s="517">
        <f t="shared" si="23"/>
        <v>0</v>
      </c>
      <c r="AH45" s="517">
        <f t="shared" si="23"/>
        <v>0</v>
      </c>
      <c r="AI45" s="517">
        <f t="shared" si="23"/>
        <v>0</v>
      </c>
      <c r="AJ45" s="517">
        <f t="shared" si="23"/>
        <v>0</v>
      </c>
      <c r="AK45" s="517">
        <f t="shared" si="23"/>
        <v>0</v>
      </c>
      <c r="AL45" s="517">
        <f t="shared" si="23"/>
        <v>0</v>
      </c>
      <c r="AM45" s="517">
        <f t="shared" si="23"/>
        <v>0</v>
      </c>
      <c r="AN45" s="517">
        <f t="shared" si="23"/>
        <v>0</v>
      </c>
      <c r="AO45" s="517">
        <f t="shared" si="23"/>
        <v>0</v>
      </c>
      <c r="AP45" s="517">
        <f t="shared" si="23"/>
        <v>0</v>
      </c>
      <c r="AQ45" s="517">
        <f t="shared" si="23"/>
        <v>0</v>
      </c>
      <c r="AR45" s="517">
        <f t="shared" si="23"/>
        <v>0</v>
      </c>
      <c r="AS45" s="517">
        <f t="shared" si="23"/>
        <v>0</v>
      </c>
      <c r="AT45" s="517">
        <f t="shared" si="23"/>
        <v>0</v>
      </c>
      <c r="AU45" s="517">
        <f t="shared" si="23"/>
        <v>0</v>
      </c>
      <c r="AV45" s="517">
        <f t="shared" si="23"/>
        <v>0</v>
      </c>
      <c r="AW45" s="517">
        <f t="shared" si="23"/>
        <v>0</v>
      </c>
      <c r="AX45" s="517">
        <f t="shared" si="23"/>
        <v>0</v>
      </c>
      <c r="AY45" s="517">
        <f t="shared" si="23"/>
        <v>0</v>
      </c>
      <c r="AZ45" s="517">
        <f t="shared" si="23"/>
        <v>0</v>
      </c>
      <c r="BA45" s="517">
        <f t="shared" si="23"/>
        <v>0</v>
      </c>
      <c r="BB45" s="517">
        <f t="shared" si="23"/>
        <v>0</v>
      </c>
      <c r="BC45" s="517">
        <f t="shared" si="23"/>
        <v>0</v>
      </c>
      <c r="BD45" s="517">
        <f t="shared" si="23"/>
        <v>0</v>
      </c>
      <c r="BE45" s="534">
        <f>SUM(טבלה34[[#This Row],[1]:[50]])</f>
        <v>0</v>
      </c>
      <c r="BF45" s="534"/>
      <c r="BG45" s="576" t="str">
        <f>טבלה34[[#This Row],[פרודוקטים]]</f>
        <v>צלחת אוכל חם</v>
      </c>
    </row>
    <row r="46" spans="1:64">
      <c r="A46" s="518" t="s">
        <v>891</v>
      </c>
      <c r="B46" s="518" t="s">
        <v>577</v>
      </c>
      <c r="C46" s="518" t="s">
        <v>34</v>
      </c>
      <c r="D46" s="530" t="s">
        <v>700</v>
      </c>
      <c r="E46" s="530"/>
      <c r="F46" s="523">
        <f>2/30</f>
        <v>6.6666666666666666E-2</v>
      </c>
      <c r="G46" s="517">
        <f>ROUNDUP($F46*G$2,0)</f>
        <v>0</v>
      </c>
      <c r="H46" s="517">
        <f t="shared" si="23"/>
        <v>0</v>
      </c>
      <c r="I46" s="517">
        <f t="shared" si="23"/>
        <v>0</v>
      </c>
      <c r="J46" s="517">
        <f t="shared" si="23"/>
        <v>0</v>
      </c>
      <c r="K46" s="517">
        <f t="shared" si="23"/>
        <v>0</v>
      </c>
      <c r="L46" s="517">
        <f t="shared" si="23"/>
        <v>0</v>
      </c>
      <c r="M46" s="517">
        <f t="shared" si="23"/>
        <v>0</v>
      </c>
      <c r="N46" s="517">
        <f t="shared" si="23"/>
        <v>0</v>
      </c>
      <c r="O46" s="517">
        <f t="shared" si="23"/>
        <v>0</v>
      </c>
      <c r="P46" s="517">
        <f t="shared" si="23"/>
        <v>0</v>
      </c>
      <c r="Q46" s="517">
        <f t="shared" si="23"/>
        <v>0</v>
      </c>
      <c r="R46" s="517">
        <f t="shared" si="23"/>
        <v>0</v>
      </c>
      <c r="S46" s="517">
        <f t="shared" si="23"/>
        <v>0</v>
      </c>
      <c r="T46" s="517">
        <f t="shared" si="23"/>
        <v>0</v>
      </c>
      <c r="U46" s="517">
        <f t="shared" si="23"/>
        <v>0</v>
      </c>
      <c r="V46" s="517">
        <f t="shared" si="23"/>
        <v>0</v>
      </c>
      <c r="W46" s="517">
        <f t="shared" si="23"/>
        <v>0</v>
      </c>
      <c r="X46" s="517">
        <f t="shared" si="23"/>
        <v>0</v>
      </c>
      <c r="Y46" s="517">
        <f t="shared" si="23"/>
        <v>0</v>
      </c>
      <c r="Z46" s="517">
        <f t="shared" si="23"/>
        <v>0</v>
      </c>
      <c r="AA46" s="517">
        <f t="shared" si="23"/>
        <v>0</v>
      </c>
      <c r="AB46" s="517">
        <f t="shared" si="23"/>
        <v>0</v>
      </c>
      <c r="AC46" s="517">
        <f t="shared" si="23"/>
        <v>0</v>
      </c>
      <c r="AD46" s="517">
        <f t="shared" si="23"/>
        <v>0</v>
      </c>
      <c r="AE46" s="517">
        <f t="shared" si="23"/>
        <v>0</v>
      </c>
      <c r="AF46" s="517">
        <f t="shared" si="23"/>
        <v>0</v>
      </c>
      <c r="AG46" s="517">
        <f t="shared" si="23"/>
        <v>0</v>
      </c>
      <c r="AH46" s="517">
        <f t="shared" si="23"/>
        <v>0</v>
      </c>
      <c r="AI46" s="517">
        <f t="shared" si="23"/>
        <v>0</v>
      </c>
      <c r="AJ46" s="517">
        <f t="shared" si="23"/>
        <v>0</v>
      </c>
      <c r="AK46" s="517">
        <f t="shared" si="23"/>
        <v>0</v>
      </c>
      <c r="AL46" s="517">
        <f t="shared" si="23"/>
        <v>0</v>
      </c>
      <c r="AM46" s="517">
        <f t="shared" si="23"/>
        <v>0</v>
      </c>
      <c r="AN46" s="517">
        <f t="shared" si="23"/>
        <v>0</v>
      </c>
      <c r="AO46" s="517">
        <f t="shared" si="23"/>
        <v>0</v>
      </c>
      <c r="AP46" s="517">
        <f t="shared" si="23"/>
        <v>0</v>
      </c>
      <c r="AQ46" s="517">
        <f t="shared" si="23"/>
        <v>0</v>
      </c>
      <c r="AR46" s="517">
        <f t="shared" si="23"/>
        <v>0</v>
      </c>
      <c r="AS46" s="517">
        <f t="shared" si="23"/>
        <v>0</v>
      </c>
      <c r="AT46" s="517">
        <f t="shared" si="23"/>
        <v>0</v>
      </c>
      <c r="AU46" s="517">
        <f t="shared" si="23"/>
        <v>0</v>
      </c>
      <c r="AV46" s="517">
        <f t="shared" si="23"/>
        <v>0</v>
      </c>
      <c r="AW46" s="517">
        <f t="shared" si="23"/>
        <v>0</v>
      </c>
      <c r="AX46" s="517">
        <f t="shared" si="23"/>
        <v>0</v>
      </c>
      <c r="AY46" s="517">
        <f t="shared" si="23"/>
        <v>0</v>
      </c>
      <c r="AZ46" s="517">
        <f t="shared" si="23"/>
        <v>0</v>
      </c>
      <c r="BA46" s="517">
        <f t="shared" si="23"/>
        <v>0</v>
      </c>
      <c r="BB46" s="517">
        <f t="shared" si="23"/>
        <v>0</v>
      </c>
      <c r="BC46" s="517">
        <f t="shared" si="23"/>
        <v>0</v>
      </c>
      <c r="BD46" s="517">
        <f t="shared" si="23"/>
        <v>0</v>
      </c>
      <c r="BE46" s="534">
        <f>SUM(טבלה34[[#This Row],[1]:[50]])</f>
        <v>0</v>
      </c>
      <c r="BF46" s="534"/>
      <c r="BG46" s="576" t="str">
        <f>טבלה34[[#This Row],[פרודוקטים]]</f>
        <v>שקית זבל</v>
      </c>
    </row>
    <row r="47" spans="1:64">
      <c r="A47" s="518" t="s">
        <v>891</v>
      </c>
      <c r="B47" s="518" t="s">
        <v>578</v>
      </c>
      <c r="C47" s="518" t="s">
        <v>35</v>
      </c>
      <c r="D47" s="530" t="s">
        <v>691</v>
      </c>
      <c r="E47" s="530"/>
      <c r="F47" s="524">
        <v>8</v>
      </c>
      <c r="G47" s="517">
        <f>IF(G$2&gt;0,$F47,0)</f>
        <v>0</v>
      </c>
      <c r="H47" s="517">
        <f t="shared" ref="H47:BD48" si="24">IF(H$2&gt;0,$F47,0)</f>
        <v>0</v>
      </c>
      <c r="I47" s="517">
        <f t="shared" si="24"/>
        <v>0</v>
      </c>
      <c r="J47" s="517">
        <f t="shared" si="24"/>
        <v>0</v>
      </c>
      <c r="K47" s="517">
        <f t="shared" si="24"/>
        <v>0</v>
      </c>
      <c r="L47" s="517">
        <f t="shared" si="24"/>
        <v>0</v>
      </c>
      <c r="M47" s="517">
        <f t="shared" si="24"/>
        <v>0</v>
      </c>
      <c r="N47" s="517">
        <f t="shared" si="24"/>
        <v>0</v>
      </c>
      <c r="O47" s="517">
        <f t="shared" si="24"/>
        <v>0</v>
      </c>
      <c r="P47" s="517">
        <f t="shared" si="24"/>
        <v>0</v>
      </c>
      <c r="Q47" s="517">
        <f t="shared" si="24"/>
        <v>0</v>
      </c>
      <c r="R47" s="517">
        <f t="shared" si="24"/>
        <v>0</v>
      </c>
      <c r="S47" s="517">
        <f t="shared" si="24"/>
        <v>0</v>
      </c>
      <c r="T47" s="517">
        <f t="shared" si="24"/>
        <v>0</v>
      </c>
      <c r="U47" s="517">
        <f t="shared" si="24"/>
        <v>0</v>
      </c>
      <c r="V47" s="517">
        <f t="shared" si="24"/>
        <v>0</v>
      </c>
      <c r="W47" s="517">
        <f t="shared" si="24"/>
        <v>0</v>
      </c>
      <c r="X47" s="517">
        <f t="shared" si="24"/>
        <v>0</v>
      </c>
      <c r="Y47" s="517">
        <f t="shared" si="24"/>
        <v>0</v>
      </c>
      <c r="Z47" s="517">
        <f t="shared" si="24"/>
        <v>0</v>
      </c>
      <c r="AA47" s="517">
        <f t="shared" si="24"/>
        <v>0</v>
      </c>
      <c r="AB47" s="517">
        <f t="shared" si="24"/>
        <v>0</v>
      </c>
      <c r="AC47" s="517">
        <f t="shared" si="24"/>
        <v>0</v>
      </c>
      <c r="AD47" s="517">
        <f t="shared" si="24"/>
        <v>0</v>
      </c>
      <c r="AE47" s="517">
        <f t="shared" si="24"/>
        <v>0</v>
      </c>
      <c r="AF47" s="517">
        <f t="shared" si="24"/>
        <v>0</v>
      </c>
      <c r="AG47" s="517">
        <f t="shared" si="24"/>
        <v>0</v>
      </c>
      <c r="AH47" s="517">
        <f t="shared" si="24"/>
        <v>0</v>
      </c>
      <c r="AI47" s="517">
        <f t="shared" si="24"/>
        <v>0</v>
      </c>
      <c r="AJ47" s="517">
        <f t="shared" si="24"/>
        <v>0</v>
      </c>
      <c r="AK47" s="517">
        <f t="shared" si="24"/>
        <v>0</v>
      </c>
      <c r="AL47" s="517">
        <f t="shared" si="24"/>
        <v>0</v>
      </c>
      <c r="AM47" s="517">
        <f t="shared" si="24"/>
        <v>0</v>
      </c>
      <c r="AN47" s="517">
        <f t="shared" si="24"/>
        <v>0</v>
      </c>
      <c r="AO47" s="517">
        <f t="shared" si="24"/>
        <v>0</v>
      </c>
      <c r="AP47" s="517">
        <f t="shared" si="24"/>
        <v>0</v>
      </c>
      <c r="AQ47" s="517">
        <f t="shared" si="24"/>
        <v>0</v>
      </c>
      <c r="AR47" s="517">
        <f t="shared" si="24"/>
        <v>0</v>
      </c>
      <c r="AS47" s="517">
        <f t="shared" si="24"/>
        <v>0</v>
      </c>
      <c r="AT47" s="517">
        <f t="shared" si="24"/>
        <v>0</v>
      </c>
      <c r="AU47" s="517">
        <f t="shared" si="24"/>
        <v>0</v>
      </c>
      <c r="AV47" s="517">
        <f t="shared" si="24"/>
        <v>0</v>
      </c>
      <c r="AW47" s="517">
        <f t="shared" si="24"/>
        <v>0</v>
      </c>
      <c r="AX47" s="517">
        <f t="shared" si="24"/>
        <v>0</v>
      </c>
      <c r="AY47" s="517">
        <f t="shared" si="24"/>
        <v>0</v>
      </c>
      <c r="AZ47" s="517">
        <f t="shared" si="24"/>
        <v>0</v>
      </c>
      <c r="BA47" s="517">
        <f t="shared" si="24"/>
        <v>0</v>
      </c>
      <c r="BB47" s="517">
        <f t="shared" si="24"/>
        <v>0</v>
      </c>
      <c r="BC47" s="517">
        <f t="shared" si="24"/>
        <v>0</v>
      </c>
      <c r="BD47" s="517">
        <f t="shared" si="24"/>
        <v>0</v>
      </c>
      <c r="BE47" s="534">
        <f>SUM(טבלה34[[#This Row],[1]:[50]])</f>
        <v>0</v>
      </c>
      <c r="BF47" s="534"/>
      <c r="BG47" s="576" t="str">
        <f>טבלה34[[#This Row],[פרודוקטים]]</f>
        <v>שקית גופיה</v>
      </c>
    </row>
    <row r="48" spans="1:64" ht="15.75" customHeight="1">
      <c r="A48" s="518" t="s">
        <v>891</v>
      </c>
      <c r="B48" s="518" t="s">
        <v>580</v>
      </c>
      <c r="C48" s="518" t="s">
        <v>37</v>
      </c>
      <c r="D48" s="573" t="s">
        <v>921</v>
      </c>
      <c r="E48" s="573"/>
      <c r="F48" s="522">
        <v>1</v>
      </c>
      <c r="G48" s="517">
        <f>IF(G$2&gt;0,$F48,0)</f>
        <v>0</v>
      </c>
      <c r="H48" s="517">
        <f t="shared" si="24"/>
        <v>0</v>
      </c>
      <c r="I48" s="517">
        <f t="shared" si="24"/>
        <v>0</v>
      </c>
      <c r="J48" s="517">
        <f t="shared" si="24"/>
        <v>0</v>
      </c>
      <c r="K48" s="517">
        <f t="shared" si="24"/>
        <v>0</v>
      </c>
      <c r="L48" s="517">
        <f t="shared" si="24"/>
        <v>0</v>
      </c>
      <c r="M48" s="517">
        <f t="shared" si="24"/>
        <v>0</v>
      </c>
      <c r="N48" s="517">
        <f t="shared" si="24"/>
        <v>0</v>
      </c>
      <c r="O48" s="517">
        <f t="shared" si="24"/>
        <v>0</v>
      </c>
      <c r="P48" s="517">
        <f t="shared" si="24"/>
        <v>0</v>
      </c>
      <c r="Q48" s="517">
        <f t="shared" si="24"/>
        <v>0</v>
      </c>
      <c r="R48" s="517">
        <f t="shared" si="24"/>
        <v>0</v>
      </c>
      <c r="S48" s="517">
        <f t="shared" si="24"/>
        <v>0</v>
      </c>
      <c r="T48" s="517">
        <f t="shared" si="24"/>
        <v>0</v>
      </c>
      <c r="U48" s="517">
        <f t="shared" si="24"/>
        <v>0</v>
      </c>
      <c r="V48" s="517">
        <f t="shared" si="24"/>
        <v>0</v>
      </c>
      <c r="W48" s="517">
        <f t="shared" si="24"/>
        <v>0</v>
      </c>
      <c r="X48" s="517">
        <f t="shared" si="24"/>
        <v>0</v>
      </c>
      <c r="Y48" s="517">
        <f t="shared" si="24"/>
        <v>0</v>
      </c>
      <c r="Z48" s="517">
        <f t="shared" si="24"/>
        <v>0</v>
      </c>
      <c r="AA48" s="517">
        <f t="shared" si="24"/>
        <v>0</v>
      </c>
      <c r="AB48" s="517">
        <f t="shared" si="24"/>
        <v>0</v>
      </c>
      <c r="AC48" s="517">
        <f t="shared" si="24"/>
        <v>0</v>
      </c>
      <c r="AD48" s="517">
        <f t="shared" si="24"/>
        <v>0</v>
      </c>
      <c r="AE48" s="517">
        <f t="shared" si="24"/>
        <v>0</v>
      </c>
      <c r="AF48" s="517">
        <f t="shared" si="24"/>
        <v>0</v>
      </c>
      <c r="AG48" s="517">
        <f t="shared" si="24"/>
        <v>0</v>
      </c>
      <c r="AH48" s="517">
        <f t="shared" si="24"/>
        <v>0</v>
      </c>
      <c r="AI48" s="517">
        <f t="shared" si="24"/>
        <v>0</v>
      </c>
      <c r="AJ48" s="517">
        <f t="shared" si="24"/>
        <v>0</v>
      </c>
      <c r="AK48" s="517">
        <f t="shared" si="24"/>
        <v>0</v>
      </c>
      <c r="AL48" s="517">
        <f t="shared" si="24"/>
        <v>0</v>
      </c>
      <c r="AM48" s="517">
        <f t="shared" si="24"/>
        <v>0</v>
      </c>
      <c r="AN48" s="517">
        <f t="shared" si="24"/>
        <v>0</v>
      </c>
      <c r="AO48" s="517">
        <f t="shared" si="24"/>
        <v>0</v>
      </c>
      <c r="AP48" s="517">
        <f t="shared" si="24"/>
        <v>0</v>
      </c>
      <c r="AQ48" s="517">
        <f t="shared" si="24"/>
        <v>0</v>
      </c>
      <c r="AR48" s="517">
        <f t="shared" si="24"/>
        <v>0</v>
      </c>
      <c r="AS48" s="517">
        <f t="shared" si="24"/>
        <v>0</v>
      </c>
      <c r="AT48" s="517">
        <f t="shared" si="24"/>
        <v>0</v>
      </c>
      <c r="AU48" s="517">
        <f t="shared" si="24"/>
        <v>0</v>
      </c>
      <c r="AV48" s="517">
        <f t="shared" si="24"/>
        <v>0</v>
      </c>
      <c r="AW48" s="517">
        <f t="shared" si="24"/>
        <v>0</v>
      </c>
      <c r="AX48" s="517">
        <f t="shared" si="24"/>
        <v>0</v>
      </c>
      <c r="AY48" s="517">
        <f t="shared" si="24"/>
        <v>0</v>
      </c>
      <c r="AZ48" s="517">
        <f t="shared" si="24"/>
        <v>0</v>
      </c>
      <c r="BA48" s="517">
        <f t="shared" si="24"/>
        <v>0</v>
      </c>
      <c r="BB48" s="517">
        <f t="shared" si="24"/>
        <v>0</v>
      </c>
      <c r="BC48" s="517">
        <f t="shared" si="24"/>
        <v>0</v>
      </c>
      <c r="BD48" s="517">
        <f t="shared" si="24"/>
        <v>0</v>
      </c>
      <c r="BE48" s="534">
        <f>SUM(טבלה34[[#This Row],[1]:[50]])</f>
        <v>0</v>
      </c>
      <c r="BF48" s="534"/>
      <c r="BG48" s="576" t="str">
        <f>טבלה34[[#This Row],[פרודוקטים]]</f>
        <v>נייר סופג</v>
      </c>
    </row>
    <row r="49" spans="1:65" ht="15.75" customHeight="1">
      <c r="D49" s="520"/>
      <c r="E49" s="520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34"/>
      <c r="BF49" s="534"/>
    </row>
    <row r="50" spans="1:65">
      <c r="A50" s="518" t="s">
        <v>172</v>
      </c>
      <c r="B50" s="518" t="s">
        <v>487</v>
      </c>
      <c r="C50" s="526" t="s">
        <v>171</v>
      </c>
      <c r="D50" s="527" t="s">
        <v>10</v>
      </c>
      <c r="E50" s="527" t="s">
        <v>488</v>
      </c>
      <c r="F50" s="525" t="s">
        <v>490</v>
      </c>
      <c r="G50" s="528" t="s">
        <v>635</v>
      </c>
      <c r="H50" s="529" t="s">
        <v>636</v>
      </c>
      <c r="I50" s="528" t="s">
        <v>637</v>
      </c>
      <c r="J50" s="529" t="s">
        <v>638</v>
      </c>
      <c r="K50" s="528" t="s">
        <v>639</v>
      </c>
      <c r="L50" s="528" t="s">
        <v>640</v>
      </c>
      <c r="M50" s="529" t="s">
        <v>641</v>
      </c>
      <c r="N50" s="528" t="s">
        <v>642</v>
      </c>
      <c r="O50" s="529" t="s">
        <v>643</v>
      </c>
      <c r="P50" s="528" t="s">
        <v>644</v>
      </c>
      <c r="Q50" s="528" t="s">
        <v>645</v>
      </c>
      <c r="R50" s="529" t="s">
        <v>646</v>
      </c>
      <c r="S50" s="528" t="s">
        <v>647</v>
      </c>
      <c r="T50" s="529" t="s">
        <v>648</v>
      </c>
      <c r="U50" s="528" t="s">
        <v>649</v>
      </c>
      <c r="V50" s="528" t="s">
        <v>650</v>
      </c>
      <c r="W50" s="529" t="s">
        <v>651</v>
      </c>
      <c r="X50" s="528" t="s">
        <v>652</v>
      </c>
      <c r="Y50" s="529" t="s">
        <v>653</v>
      </c>
      <c r="Z50" s="528" t="s">
        <v>654</v>
      </c>
      <c r="AA50" s="528" t="s">
        <v>655</v>
      </c>
      <c r="AB50" s="529" t="s">
        <v>656</v>
      </c>
      <c r="AC50" s="528" t="s">
        <v>657</v>
      </c>
      <c r="AD50" s="529" t="s">
        <v>658</v>
      </c>
      <c r="AE50" s="528" t="s">
        <v>659</v>
      </c>
      <c r="AF50" s="528" t="s">
        <v>660</v>
      </c>
      <c r="AG50" s="529" t="s">
        <v>661</v>
      </c>
      <c r="AH50" s="528" t="s">
        <v>662</v>
      </c>
      <c r="AI50" s="529" t="s">
        <v>698</v>
      </c>
      <c r="AJ50" s="528" t="s">
        <v>663</v>
      </c>
      <c r="AK50" s="528" t="s">
        <v>664</v>
      </c>
      <c r="AL50" s="529" t="s">
        <v>665</v>
      </c>
      <c r="AM50" s="528" t="s">
        <v>666</v>
      </c>
      <c r="AN50" s="529" t="s">
        <v>699</v>
      </c>
      <c r="AO50" s="528" t="s">
        <v>749</v>
      </c>
      <c r="AP50" s="528" t="s">
        <v>750</v>
      </c>
      <c r="AQ50" s="529" t="s">
        <v>751</v>
      </c>
      <c r="AR50" s="528" t="s">
        <v>752</v>
      </c>
      <c r="AS50" s="529" t="s">
        <v>753</v>
      </c>
      <c r="AT50" s="528" t="s">
        <v>754</v>
      </c>
      <c r="AU50" s="528" t="s">
        <v>755</v>
      </c>
      <c r="AV50" s="529" t="s">
        <v>748</v>
      </c>
      <c r="AW50" s="528" t="s">
        <v>756</v>
      </c>
      <c r="AX50" s="529" t="s">
        <v>757</v>
      </c>
      <c r="AY50" s="528" t="s">
        <v>758</v>
      </c>
      <c r="AZ50" s="528" t="s">
        <v>759</v>
      </c>
      <c r="BA50" s="529" t="s">
        <v>760</v>
      </c>
      <c r="BB50" s="528" t="s">
        <v>761</v>
      </c>
      <c r="BC50" s="529" t="s">
        <v>762</v>
      </c>
      <c r="BD50" s="528" t="s">
        <v>763</v>
      </c>
      <c r="BE50" s="528" t="s">
        <v>22</v>
      </c>
      <c r="BF50" s="528" t="s">
        <v>667</v>
      </c>
      <c r="BG50" s="535" t="s">
        <v>16</v>
      </c>
      <c r="BH50" s="536" t="s">
        <v>923</v>
      </c>
      <c r="BI50" s="537"/>
      <c r="BJ50" s="535"/>
      <c r="BK50" s="535"/>
      <c r="BL50" s="535"/>
    </row>
    <row r="51" spans="1:65">
      <c r="A51" s="518" t="s">
        <v>896</v>
      </c>
      <c r="B51" s="518">
        <v>11182</v>
      </c>
      <c r="C51" s="518" t="s">
        <v>128</v>
      </c>
      <c r="D51" s="520" t="s">
        <v>897</v>
      </c>
      <c r="E51" s="520"/>
      <c r="F51" s="523">
        <v>0.1</v>
      </c>
      <c r="G51" s="517">
        <f>ROUNDUP($F51*G$2,0)</f>
        <v>0</v>
      </c>
      <c r="H51" s="517">
        <f t="shared" ref="H51:BD51" si="25">ROUNDUP($F51*H$2,0)</f>
        <v>0</v>
      </c>
      <c r="I51" s="517">
        <f t="shared" si="25"/>
        <v>0</v>
      </c>
      <c r="J51" s="517">
        <f t="shared" si="25"/>
        <v>0</v>
      </c>
      <c r="K51" s="517">
        <f t="shared" si="25"/>
        <v>0</v>
      </c>
      <c r="L51" s="517">
        <f t="shared" si="25"/>
        <v>0</v>
      </c>
      <c r="M51" s="517">
        <f t="shared" si="25"/>
        <v>0</v>
      </c>
      <c r="N51" s="517">
        <f t="shared" si="25"/>
        <v>0</v>
      </c>
      <c r="O51" s="517">
        <f t="shared" si="25"/>
        <v>0</v>
      </c>
      <c r="P51" s="517">
        <f t="shared" si="25"/>
        <v>0</v>
      </c>
      <c r="Q51" s="517">
        <f t="shared" si="25"/>
        <v>0</v>
      </c>
      <c r="R51" s="517">
        <f t="shared" si="25"/>
        <v>0</v>
      </c>
      <c r="S51" s="517">
        <f t="shared" si="25"/>
        <v>0</v>
      </c>
      <c r="T51" s="517">
        <f t="shared" si="25"/>
        <v>0</v>
      </c>
      <c r="U51" s="517">
        <f t="shared" si="25"/>
        <v>0</v>
      </c>
      <c r="V51" s="517">
        <f t="shared" si="25"/>
        <v>0</v>
      </c>
      <c r="W51" s="517">
        <f t="shared" si="25"/>
        <v>0</v>
      </c>
      <c r="X51" s="517">
        <f t="shared" si="25"/>
        <v>0</v>
      </c>
      <c r="Y51" s="517">
        <f t="shared" si="25"/>
        <v>0</v>
      </c>
      <c r="Z51" s="517">
        <f t="shared" si="25"/>
        <v>0</v>
      </c>
      <c r="AA51" s="517">
        <f t="shared" si="25"/>
        <v>0</v>
      </c>
      <c r="AB51" s="517">
        <f t="shared" si="25"/>
        <v>0</v>
      </c>
      <c r="AC51" s="517">
        <f t="shared" si="25"/>
        <v>0</v>
      </c>
      <c r="AD51" s="517">
        <f t="shared" si="25"/>
        <v>0</v>
      </c>
      <c r="AE51" s="517">
        <f t="shared" si="25"/>
        <v>0</v>
      </c>
      <c r="AF51" s="517">
        <f t="shared" si="25"/>
        <v>0</v>
      </c>
      <c r="AG51" s="517">
        <f t="shared" si="25"/>
        <v>0</v>
      </c>
      <c r="AH51" s="517">
        <f t="shared" si="25"/>
        <v>0</v>
      </c>
      <c r="AI51" s="517">
        <f t="shared" si="25"/>
        <v>0</v>
      </c>
      <c r="AJ51" s="517">
        <f t="shared" si="25"/>
        <v>0</v>
      </c>
      <c r="AK51" s="517">
        <f t="shared" si="25"/>
        <v>0</v>
      </c>
      <c r="AL51" s="517">
        <f t="shared" si="25"/>
        <v>0</v>
      </c>
      <c r="AM51" s="517">
        <f t="shared" si="25"/>
        <v>0</v>
      </c>
      <c r="AN51" s="517">
        <f t="shared" si="25"/>
        <v>0</v>
      </c>
      <c r="AO51" s="517">
        <f t="shared" si="25"/>
        <v>0</v>
      </c>
      <c r="AP51" s="517">
        <f t="shared" si="25"/>
        <v>0</v>
      </c>
      <c r="AQ51" s="517">
        <f t="shared" si="25"/>
        <v>0</v>
      </c>
      <c r="AR51" s="517">
        <f t="shared" si="25"/>
        <v>0</v>
      </c>
      <c r="AS51" s="517">
        <f t="shared" si="25"/>
        <v>0</v>
      </c>
      <c r="AT51" s="517">
        <f t="shared" si="25"/>
        <v>0</v>
      </c>
      <c r="AU51" s="517">
        <f t="shared" si="25"/>
        <v>0</v>
      </c>
      <c r="AV51" s="517">
        <f t="shared" si="25"/>
        <v>0</v>
      </c>
      <c r="AW51" s="517">
        <f t="shared" si="25"/>
        <v>0</v>
      </c>
      <c r="AX51" s="517">
        <f t="shared" si="25"/>
        <v>0</v>
      </c>
      <c r="AY51" s="517">
        <f t="shared" si="25"/>
        <v>0</v>
      </c>
      <c r="AZ51" s="517">
        <f t="shared" si="25"/>
        <v>0</v>
      </c>
      <c r="BA51" s="517">
        <f t="shared" si="25"/>
        <v>0</v>
      </c>
      <c r="BB51" s="517">
        <f t="shared" si="25"/>
        <v>0</v>
      </c>
      <c r="BC51" s="517">
        <f t="shared" si="25"/>
        <v>0</v>
      </c>
      <c r="BD51" s="517">
        <f t="shared" si="25"/>
        <v>0</v>
      </c>
      <c r="BE51" s="534">
        <f>SUM(טבלה35[[#This Row],[1]:[50]])</f>
        <v>0</v>
      </c>
      <c r="BF51" s="534"/>
      <c r="BG51" s="580" t="str">
        <f>טבלה35[[#This Row],[פרודוקטים]]</f>
        <v>קוסקוס</v>
      </c>
      <c r="BH51" s="532">
        <v>0</v>
      </c>
      <c r="BJ51" s="531"/>
      <c r="BK51" s="531"/>
      <c r="BL51" s="531"/>
    </row>
    <row r="52" spans="1:65">
      <c r="A52" s="518" t="s">
        <v>896</v>
      </c>
      <c r="B52" s="518">
        <v>11782</v>
      </c>
      <c r="C52" s="518" t="s">
        <v>898</v>
      </c>
      <c r="D52" s="520" t="s">
        <v>736</v>
      </c>
      <c r="E52" s="520"/>
      <c r="F52" s="523">
        <v>120</v>
      </c>
      <c r="G52" s="517">
        <f>ROUNDUP($F52*(G$2-G$3/4),0)</f>
        <v>0</v>
      </c>
      <c r="H52" s="517">
        <f t="shared" ref="H52:BD52" si="26">ROUNDUP($F52*(H$2-H$3/4),0)</f>
        <v>0</v>
      </c>
      <c r="I52" s="517">
        <f t="shared" si="26"/>
        <v>0</v>
      </c>
      <c r="J52" s="517">
        <f t="shared" si="26"/>
        <v>0</v>
      </c>
      <c r="K52" s="517">
        <f t="shared" si="26"/>
        <v>0</v>
      </c>
      <c r="L52" s="517">
        <f t="shared" si="26"/>
        <v>0</v>
      </c>
      <c r="M52" s="517">
        <f t="shared" si="26"/>
        <v>0</v>
      </c>
      <c r="N52" s="517">
        <f t="shared" si="26"/>
        <v>0</v>
      </c>
      <c r="O52" s="517">
        <f t="shared" si="26"/>
        <v>0</v>
      </c>
      <c r="P52" s="517">
        <f t="shared" si="26"/>
        <v>0</v>
      </c>
      <c r="Q52" s="517">
        <f t="shared" si="26"/>
        <v>0</v>
      </c>
      <c r="R52" s="517">
        <f t="shared" si="26"/>
        <v>0</v>
      </c>
      <c r="S52" s="517">
        <f t="shared" si="26"/>
        <v>0</v>
      </c>
      <c r="T52" s="517">
        <f t="shared" si="26"/>
        <v>0</v>
      </c>
      <c r="U52" s="517">
        <f t="shared" si="26"/>
        <v>0</v>
      </c>
      <c r="V52" s="517">
        <f t="shared" si="26"/>
        <v>0</v>
      </c>
      <c r="W52" s="517">
        <f t="shared" si="26"/>
        <v>0</v>
      </c>
      <c r="X52" s="517">
        <f t="shared" si="26"/>
        <v>0</v>
      </c>
      <c r="Y52" s="517">
        <f t="shared" si="26"/>
        <v>0</v>
      </c>
      <c r="Z52" s="517">
        <f t="shared" si="26"/>
        <v>0</v>
      </c>
      <c r="AA52" s="517">
        <f t="shared" si="26"/>
        <v>0</v>
      </c>
      <c r="AB52" s="517">
        <f t="shared" si="26"/>
        <v>0</v>
      </c>
      <c r="AC52" s="517">
        <f t="shared" si="26"/>
        <v>0</v>
      </c>
      <c r="AD52" s="517">
        <f t="shared" si="26"/>
        <v>0</v>
      </c>
      <c r="AE52" s="517">
        <f t="shared" si="26"/>
        <v>0</v>
      </c>
      <c r="AF52" s="517">
        <f t="shared" si="26"/>
        <v>0</v>
      </c>
      <c r="AG52" s="517">
        <f t="shared" si="26"/>
        <v>0</v>
      </c>
      <c r="AH52" s="517">
        <f t="shared" si="26"/>
        <v>0</v>
      </c>
      <c r="AI52" s="517">
        <f t="shared" si="26"/>
        <v>0</v>
      </c>
      <c r="AJ52" s="517">
        <f t="shared" si="26"/>
        <v>0</v>
      </c>
      <c r="AK52" s="517">
        <f t="shared" si="26"/>
        <v>0</v>
      </c>
      <c r="AL52" s="517">
        <f t="shared" si="26"/>
        <v>0</v>
      </c>
      <c r="AM52" s="517">
        <f t="shared" si="26"/>
        <v>0</v>
      </c>
      <c r="AN52" s="517">
        <f t="shared" si="26"/>
        <v>0</v>
      </c>
      <c r="AO52" s="517">
        <f t="shared" si="26"/>
        <v>0</v>
      </c>
      <c r="AP52" s="517">
        <f t="shared" si="26"/>
        <v>0</v>
      </c>
      <c r="AQ52" s="517">
        <f t="shared" si="26"/>
        <v>0</v>
      </c>
      <c r="AR52" s="517">
        <f t="shared" si="26"/>
        <v>0</v>
      </c>
      <c r="AS52" s="517">
        <f t="shared" si="26"/>
        <v>0</v>
      </c>
      <c r="AT52" s="517">
        <f t="shared" si="26"/>
        <v>0</v>
      </c>
      <c r="AU52" s="517">
        <f t="shared" si="26"/>
        <v>0</v>
      </c>
      <c r="AV52" s="517">
        <f t="shared" si="26"/>
        <v>0</v>
      </c>
      <c r="AW52" s="517">
        <f t="shared" si="26"/>
        <v>0</v>
      </c>
      <c r="AX52" s="517">
        <f t="shared" si="26"/>
        <v>0</v>
      </c>
      <c r="AY52" s="517">
        <f t="shared" si="26"/>
        <v>0</v>
      </c>
      <c r="AZ52" s="517">
        <f t="shared" si="26"/>
        <v>0</v>
      </c>
      <c r="BA52" s="517">
        <f t="shared" si="26"/>
        <v>0</v>
      </c>
      <c r="BB52" s="517">
        <f t="shared" si="26"/>
        <v>0</v>
      </c>
      <c r="BC52" s="517">
        <f t="shared" si="26"/>
        <v>0</v>
      </c>
      <c r="BD52" s="517">
        <f t="shared" si="26"/>
        <v>0</v>
      </c>
      <c r="BE52" s="534">
        <f>SUM(טבלה35[[#This Row],[1]:[50]])</f>
        <v>0</v>
      </c>
      <c r="BF52" s="534"/>
      <c r="BG52" s="580" t="str">
        <f>טבלה35[[#This Row],[פרודוקטים]]</f>
        <v xml:space="preserve">קוביות עוף </v>
      </c>
      <c r="BJ52" s="531"/>
      <c r="BK52" s="531"/>
      <c r="BL52" s="531"/>
    </row>
    <row r="53" spans="1:65">
      <c r="A53" s="518" t="s">
        <v>896</v>
      </c>
      <c r="B53" s="518">
        <v>3</v>
      </c>
      <c r="C53" s="518" t="s">
        <v>2</v>
      </c>
      <c r="D53" s="573" t="s">
        <v>681</v>
      </c>
      <c r="E53" s="573"/>
      <c r="F53" s="521">
        <f>1/4</f>
        <v>0.25</v>
      </c>
      <c r="G53" s="517">
        <f>ROUNDUP($F53*G$2,0)</f>
        <v>0</v>
      </c>
      <c r="H53" s="517">
        <f t="shared" ref="H53:BD58" si="27">ROUNDUP($F53*H$2,0)</f>
        <v>0</v>
      </c>
      <c r="I53" s="517">
        <f t="shared" si="27"/>
        <v>0</v>
      </c>
      <c r="J53" s="517">
        <f t="shared" si="27"/>
        <v>0</v>
      </c>
      <c r="K53" s="517">
        <f t="shared" si="27"/>
        <v>0</v>
      </c>
      <c r="L53" s="517">
        <f t="shared" si="27"/>
        <v>0</v>
      </c>
      <c r="M53" s="517">
        <f t="shared" si="27"/>
        <v>0</v>
      </c>
      <c r="N53" s="517">
        <f t="shared" si="27"/>
        <v>0</v>
      </c>
      <c r="O53" s="517">
        <f t="shared" si="27"/>
        <v>0</v>
      </c>
      <c r="P53" s="517">
        <f t="shared" si="27"/>
        <v>0</v>
      </c>
      <c r="Q53" s="517">
        <f t="shared" si="27"/>
        <v>0</v>
      </c>
      <c r="R53" s="517">
        <f t="shared" si="27"/>
        <v>0</v>
      </c>
      <c r="S53" s="517">
        <f t="shared" si="27"/>
        <v>0</v>
      </c>
      <c r="T53" s="517">
        <f t="shared" si="27"/>
        <v>0</v>
      </c>
      <c r="U53" s="517">
        <f t="shared" si="27"/>
        <v>0</v>
      </c>
      <c r="V53" s="517">
        <f t="shared" si="27"/>
        <v>0</v>
      </c>
      <c r="W53" s="517">
        <f t="shared" si="27"/>
        <v>0</v>
      </c>
      <c r="X53" s="517">
        <f t="shared" si="27"/>
        <v>0</v>
      </c>
      <c r="Y53" s="517">
        <f t="shared" si="27"/>
        <v>0</v>
      </c>
      <c r="Z53" s="517">
        <f t="shared" si="27"/>
        <v>0</v>
      </c>
      <c r="AA53" s="517">
        <f t="shared" si="27"/>
        <v>0</v>
      </c>
      <c r="AB53" s="517">
        <f t="shared" si="27"/>
        <v>0</v>
      </c>
      <c r="AC53" s="517">
        <f t="shared" si="27"/>
        <v>0</v>
      </c>
      <c r="AD53" s="517">
        <f t="shared" si="27"/>
        <v>0</v>
      </c>
      <c r="AE53" s="517">
        <f t="shared" si="27"/>
        <v>0</v>
      </c>
      <c r="AF53" s="517">
        <f t="shared" si="27"/>
        <v>0</v>
      </c>
      <c r="AG53" s="517">
        <f t="shared" si="27"/>
        <v>0</v>
      </c>
      <c r="AH53" s="517">
        <f t="shared" si="27"/>
        <v>0</v>
      </c>
      <c r="AI53" s="517">
        <f t="shared" si="27"/>
        <v>0</v>
      </c>
      <c r="AJ53" s="517">
        <f t="shared" si="27"/>
        <v>0</v>
      </c>
      <c r="AK53" s="517">
        <f t="shared" si="27"/>
        <v>0</v>
      </c>
      <c r="AL53" s="517">
        <f t="shared" si="27"/>
        <v>0</v>
      </c>
      <c r="AM53" s="517">
        <f t="shared" si="27"/>
        <v>0</v>
      </c>
      <c r="AN53" s="517">
        <f t="shared" si="27"/>
        <v>0</v>
      </c>
      <c r="AO53" s="517">
        <f t="shared" si="27"/>
        <v>0</v>
      </c>
      <c r="AP53" s="517">
        <f t="shared" si="27"/>
        <v>0</v>
      </c>
      <c r="AQ53" s="517">
        <f t="shared" si="27"/>
        <v>0</v>
      </c>
      <c r="AR53" s="517">
        <f t="shared" si="27"/>
        <v>0</v>
      </c>
      <c r="AS53" s="517">
        <f t="shared" si="27"/>
        <v>0</v>
      </c>
      <c r="AT53" s="517">
        <f t="shared" si="27"/>
        <v>0</v>
      </c>
      <c r="AU53" s="517">
        <f t="shared" si="27"/>
        <v>0</v>
      </c>
      <c r="AV53" s="517">
        <f t="shared" si="27"/>
        <v>0</v>
      </c>
      <c r="AW53" s="517">
        <f t="shared" si="27"/>
        <v>0</v>
      </c>
      <c r="AX53" s="517">
        <f t="shared" si="27"/>
        <v>0</v>
      </c>
      <c r="AY53" s="517">
        <f t="shared" si="27"/>
        <v>0</v>
      </c>
      <c r="AZ53" s="517">
        <f t="shared" si="27"/>
        <v>0</v>
      </c>
      <c r="BA53" s="517">
        <f t="shared" si="27"/>
        <v>0</v>
      </c>
      <c r="BB53" s="517">
        <f t="shared" si="27"/>
        <v>0</v>
      </c>
      <c r="BC53" s="517">
        <f t="shared" si="27"/>
        <v>0</v>
      </c>
      <c r="BD53" s="517">
        <f t="shared" si="27"/>
        <v>0</v>
      </c>
      <c r="BE53" s="534">
        <f>SUM(טבלה35[[#This Row],[1]:[50]])</f>
        <v>0</v>
      </c>
      <c r="BF53" s="534"/>
      <c r="BG53" s="580" t="str">
        <f>טבלה35[[#This Row],[פרודוקטים]]</f>
        <v>מלפפון</v>
      </c>
      <c r="BH53" s="532">
        <v>0</v>
      </c>
      <c r="BJ53" s="531"/>
      <c r="BK53" s="531"/>
      <c r="BL53" s="531"/>
    </row>
    <row r="54" spans="1:65">
      <c r="A54" s="518" t="s">
        <v>896</v>
      </c>
      <c r="B54" s="518">
        <v>607</v>
      </c>
      <c r="C54" s="518" t="s">
        <v>3</v>
      </c>
      <c r="D54" s="573" t="s">
        <v>681</v>
      </c>
      <c r="E54" s="573"/>
      <c r="F54" s="521">
        <f>1/4</f>
        <v>0.25</v>
      </c>
      <c r="G54" s="517">
        <f t="shared" ref="G54:V56" si="28">ROUNDUP($F54*G$2,0)</f>
        <v>0</v>
      </c>
      <c r="H54" s="517">
        <f t="shared" si="28"/>
        <v>0</v>
      </c>
      <c r="I54" s="517">
        <f t="shared" si="28"/>
        <v>0</v>
      </c>
      <c r="J54" s="517">
        <f t="shared" si="28"/>
        <v>0</v>
      </c>
      <c r="K54" s="517">
        <f t="shared" si="28"/>
        <v>0</v>
      </c>
      <c r="L54" s="517">
        <f t="shared" si="28"/>
        <v>0</v>
      </c>
      <c r="M54" s="517">
        <f t="shared" si="28"/>
        <v>0</v>
      </c>
      <c r="N54" s="517">
        <f t="shared" si="28"/>
        <v>0</v>
      </c>
      <c r="O54" s="517">
        <f t="shared" si="28"/>
        <v>0</v>
      </c>
      <c r="P54" s="517">
        <f t="shared" si="28"/>
        <v>0</v>
      </c>
      <c r="Q54" s="517">
        <f t="shared" si="28"/>
        <v>0</v>
      </c>
      <c r="R54" s="517">
        <f t="shared" si="28"/>
        <v>0</v>
      </c>
      <c r="S54" s="517">
        <f t="shared" si="28"/>
        <v>0</v>
      </c>
      <c r="T54" s="517">
        <f t="shared" si="28"/>
        <v>0</v>
      </c>
      <c r="U54" s="517">
        <f t="shared" si="28"/>
        <v>0</v>
      </c>
      <c r="V54" s="517">
        <f t="shared" si="28"/>
        <v>0</v>
      </c>
      <c r="W54" s="517">
        <f t="shared" si="27"/>
        <v>0</v>
      </c>
      <c r="X54" s="517">
        <f t="shared" si="27"/>
        <v>0</v>
      </c>
      <c r="Y54" s="517">
        <f t="shared" si="27"/>
        <v>0</v>
      </c>
      <c r="Z54" s="517">
        <f t="shared" si="27"/>
        <v>0</v>
      </c>
      <c r="AA54" s="517">
        <f t="shared" si="27"/>
        <v>0</v>
      </c>
      <c r="AB54" s="517">
        <f t="shared" si="27"/>
        <v>0</v>
      </c>
      <c r="AC54" s="517">
        <f t="shared" si="27"/>
        <v>0</v>
      </c>
      <c r="AD54" s="517">
        <f t="shared" si="27"/>
        <v>0</v>
      </c>
      <c r="AE54" s="517">
        <f t="shared" si="27"/>
        <v>0</v>
      </c>
      <c r="AF54" s="517">
        <f t="shared" si="27"/>
        <v>0</v>
      </c>
      <c r="AG54" s="517">
        <f t="shared" si="27"/>
        <v>0</v>
      </c>
      <c r="AH54" s="517">
        <f t="shared" si="27"/>
        <v>0</v>
      </c>
      <c r="AI54" s="517">
        <f t="shared" si="27"/>
        <v>0</v>
      </c>
      <c r="AJ54" s="517">
        <f t="shared" si="27"/>
        <v>0</v>
      </c>
      <c r="AK54" s="517">
        <f t="shared" si="27"/>
        <v>0</v>
      </c>
      <c r="AL54" s="517">
        <f t="shared" si="27"/>
        <v>0</v>
      </c>
      <c r="AM54" s="517">
        <f t="shared" si="27"/>
        <v>0</v>
      </c>
      <c r="AN54" s="517">
        <f t="shared" si="27"/>
        <v>0</v>
      </c>
      <c r="AO54" s="517">
        <f t="shared" si="27"/>
        <v>0</v>
      </c>
      <c r="AP54" s="517">
        <f t="shared" si="27"/>
        <v>0</v>
      </c>
      <c r="AQ54" s="517">
        <f t="shared" si="27"/>
        <v>0</v>
      </c>
      <c r="AR54" s="517">
        <f t="shared" si="27"/>
        <v>0</v>
      </c>
      <c r="AS54" s="517">
        <f t="shared" si="27"/>
        <v>0</v>
      </c>
      <c r="AT54" s="517">
        <f t="shared" si="27"/>
        <v>0</v>
      </c>
      <c r="AU54" s="517">
        <f t="shared" si="27"/>
        <v>0</v>
      </c>
      <c r="AV54" s="517">
        <f t="shared" si="27"/>
        <v>0</v>
      </c>
      <c r="AW54" s="517">
        <f t="shared" si="27"/>
        <v>0</v>
      </c>
      <c r="AX54" s="517">
        <f t="shared" si="27"/>
        <v>0</v>
      </c>
      <c r="AY54" s="517">
        <f t="shared" si="27"/>
        <v>0</v>
      </c>
      <c r="AZ54" s="517">
        <f t="shared" si="27"/>
        <v>0</v>
      </c>
      <c r="BA54" s="517">
        <f t="shared" si="27"/>
        <v>0</v>
      </c>
      <c r="BB54" s="517">
        <f t="shared" si="27"/>
        <v>0</v>
      </c>
      <c r="BC54" s="517">
        <f t="shared" si="27"/>
        <v>0</v>
      </c>
      <c r="BD54" s="517">
        <f t="shared" si="27"/>
        <v>0</v>
      </c>
      <c r="BE54" s="534">
        <f>SUM(טבלה35[[#This Row],[1]:[50]])</f>
        <v>0</v>
      </c>
      <c r="BF54" s="534"/>
      <c r="BG54" s="581" t="str">
        <f>טבלה35[[#This Row],[פרודוקטים]]</f>
        <v>עגבניה</v>
      </c>
      <c r="BH54" s="532">
        <v>0</v>
      </c>
      <c r="BJ54" s="531"/>
      <c r="BK54" s="531"/>
      <c r="BL54" s="531"/>
    </row>
    <row r="55" spans="1:65">
      <c r="A55" s="518" t="s">
        <v>896</v>
      </c>
      <c r="B55" s="518">
        <v>157</v>
      </c>
      <c r="C55" s="518" t="s">
        <v>21</v>
      </c>
      <c r="D55" s="573" t="s">
        <v>890</v>
      </c>
      <c r="E55" s="573"/>
      <c r="F55" s="523">
        <f>1/10</f>
        <v>0.1</v>
      </c>
      <c r="G55" s="517">
        <f t="shared" si="28"/>
        <v>0</v>
      </c>
      <c r="H55" s="517">
        <f t="shared" si="27"/>
        <v>0</v>
      </c>
      <c r="I55" s="517">
        <f t="shared" si="27"/>
        <v>0</v>
      </c>
      <c r="J55" s="517">
        <f t="shared" si="27"/>
        <v>0</v>
      </c>
      <c r="K55" s="517">
        <f t="shared" si="27"/>
        <v>0</v>
      </c>
      <c r="L55" s="517">
        <f t="shared" si="27"/>
        <v>0</v>
      </c>
      <c r="M55" s="517">
        <f t="shared" si="27"/>
        <v>0</v>
      </c>
      <c r="N55" s="517">
        <f t="shared" si="27"/>
        <v>0</v>
      </c>
      <c r="O55" s="517">
        <f t="shared" si="27"/>
        <v>0</v>
      </c>
      <c r="P55" s="517">
        <f t="shared" si="27"/>
        <v>0</v>
      </c>
      <c r="Q55" s="517">
        <f t="shared" si="27"/>
        <v>0</v>
      </c>
      <c r="R55" s="517">
        <f t="shared" si="27"/>
        <v>0</v>
      </c>
      <c r="S55" s="517">
        <f t="shared" si="27"/>
        <v>0</v>
      </c>
      <c r="T55" s="517">
        <f t="shared" si="27"/>
        <v>0</v>
      </c>
      <c r="U55" s="517">
        <f t="shared" si="27"/>
        <v>0</v>
      </c>
      <c r="V55" s="517">
        <f t="shared" si="27"/>
        <v>0</v>
      </c>
      <c r="W55" s="517">
        <f t="shared" si="27"/>
        <v>0</v>
      </c>
      <c r="X55" s="517">
        <f t="shared" si="27"/>
        <v>0</v>
      </c>
      <c r="Y55" s="517">
        <f t="shared" si="27"/>
        <v>0</v>
      </c>
      <c r="Z55" s="517">
        <f t="shared" si="27"/>
        <v>0</v>
      </c>
      <c r="AA55" s="517">
        <f t="shared" si="27"/>
        <v>0</v>
      </c>
      <c r="AB55" s="517">
        <f t="shared" si="27"/>
        <v>0</v>
      </c>
      <c r="AC55" s="517">
        <f t="shared" si="27"/>
        <v>0</v>
      </c>
      <c r="AD55" s="517">
        <f t="shared" si="27"/>
        <v>0</v>
      </c>
      <c r="AE55" s="517">
        <f t="shared" si="27"/>
        <v>0</v>
      </c>
      <c r="AF55" s="517">
        <f t="shared" si="27"/>
        <v>0</v>
      </c>
      <c r="AG55" s="517">
        <f t="shared" si="27"/>
        <v>0</v>
      </c>
      <c r="AH55" s="517">
        <f t="shared" si="27"/>
        <v>0</v>
      </c>
      <c r="AI55" s="517">
        <f t="shared" si="27"/>
        <v>0</v>
      </c>
      <c r="AJ55" s="517">
        <f t="shared" si="27"/>
        <v>0</v>
      </c>
      <c r="AK55" s="517">
        <f t="shared" si="27"/>
        <v>0</v>
      </c>
      <c r="AL55" s="517">
        <f t="shared" si="27"/>
        <v>0</v>
      </c>
      <c r="AM55" s="517">
        <f t="shared" si="27"/>
        <v>0</v>
      </c>
      <c r="AN55" s="517">
        <f t="shared" si="27"/>
        <v>0</v>
      </c>
      <c r="AO55" s="517">
        <f t="shared" si="27"/>
        <v>0</v>
      </c>
      <c r="AP55" s="517">
        <f t="shared" si="27"/>
        <v>0</v>
      </c>
      <c r="AQ55" s="517">
        <f t="shared" si="27"/>
        <v>0</v>
      </c>
      <c r="AR55" s="517">
        <f t="shared" si="27"/>
        <v>0</v>
      </c>
      <c r="AS55" s="517">
        <f t="shared" si="27"/>
        <v>0</v>
      </c>
      <c r="AT55" s="517">
        <f t="shared" si="27"/>
        <v>0</v>
      </c>
      <c r="AU55" s="517">
        <f t="shared" si="27"/>
        <v>0</v>
      </c>
      <c r="AV55" s="517">
        <f t="shared" si="27"/>
        <v>0</v>
      </c>
      <c r="AW55" s="517">
        <f t="shared" si="27"/>
        <v>0</v>
      </c>
      <c r="AX55" s="517">
        <f t="shared" si="27"/>
        <v>0</v>
      </c>
      <c r="AY55" s="517">
        <f t="shared" si="27"/>
        <v>0</v>
      </c>
      <c r="AZ55" s="517">
        <f t="shared" si="27"/>
        <v>0</v>
      </c>
      <c r="BA55" s="517">
        <f t="shared" si="27"/>
        <v>0</v>
      </c>
      <c r="BB55" s="517">
        <f t="shared" si="27"/>
        <v>0</v>
      </c>
      <c r="BC55" s="517">
        <f t="shared" si="27"/>
        <v>0</v>
      </c>
      <c r="BD55" s="517">
        <f t="shared" si="27"/>
        <v>0</v>
      </c>
      <c r="BE55" s="534">
        <f>SUM(טבלה35[[#This Row],[1]:[50]])</f>
        <v>0</v>
      </c>
      <c r="BF55" s="534"/>
      <c r="BG55" s="581" t="str">
        <f>טבלה35[[#This Row],[פרודוקטים]]</f>
        <v>בצל</v>
      </c>
      <c r="BH55" s="532"/>
      <c r="BJ55" s="531"/>
      <c r="BK55" s="531"/>
      <c r="BL55" s="531"/>
    </row>
    <row r="56" spans="1:65">
      <c r="A56" s="518" t="s">
        <v>896</v>
      </c>
      <c r="B56" s="518">
        <v>6975</v>
      </c>
      <c r="C56" s="518" t="s">
        <v>41</v>
      </c>
      <c r="D56" s="530" t="s">
        <v>718</v>
      </c>
      <c r="E56" s="530"/>
      <c r="F56" s="523">
        <v>3.3333333333333333E-2</v>
      </c>
      <c r="G56" s="517">
        <f t="shared" si="28"/>
        <v>0</v>
      </c>
      <c r="H56" s="517">
        <f t="shared" si="27"/>
        <v>0</v>
      </c>
      <c r="I56" s="517">
        <f t="shared" si="27"/>
        <v>0</v>
      </c>
      <c r="J56" s="517">
        <f t="shared" si="27"/>
        <v>0</v>
      </c>
      <c r="K56" s="517">
        <f t="shared" si="27"/>
        <v>0</v>
      </c>
      <c r="L56" s="517">
        <f t="shared" si="27"/>
        <v>0</v>
      </c>
      <c r="M56" s="517">
        <f t="shared" si="27"/>
        <v>0</v>
      </c>
      <c r="N56" s="517">
        <f t="shared" si="27"/>
        <v>0</v>
      </c>
      <c r="O56" s="517">
        <f t="shared" si="27"/>
        <v>0</v>
      </c>
      <c r="P56" s="517">
        <f t="shared" si="27"/>
        <v>0</v>
      </c>
      <c r="Q56" s="517">
        <f t="shared" si="27"/>
        <v>0</v>
      </c>
      <c r="R56" s="517">
        <f t="shared" si="27"/>
        <v>0</v>
      </c>
      <c r="S56" s="517">
        <f t="shared" si="27"/>
        <v>0</v>
      </c>
      <c r="T56" s="517">
        <f t="shared" si="27"/>
        <v>0</v>
      </c>
      <c r="U56" s="517">
        <f t="shared" si="27"/>
        <v>0</v>
      </c>
      <c r="V56" s="517">
        <f t="shared" si="27"/>
        <v>0</v>
      </c>
      <c r="W56" s="517">
        <f t="shared" si="27"/>
        <v>0</v>
      </c>
      <c r="X56" s="517">
        <f t="shared" si="27"/>
        <v>0</v>
      </c>
      <c r="Y56" s="517">
        <f t="shared" si="27"/>
        <v>0</v>
      </c>
      <c r="Z56" s="517">
        <f t="shared" si="27"/>
        <v>0</v>
      </c>
      <c r="AA56" s="517">
        <f t="shared" si="27"/>
        <v>0</v>
      </c>
      <c r="AB56" s="517">
        <f t="shared" si="27"/>
        <v>0</v>
      </c>
      <c r="AC56" s="517">
        <f t="shared" si="27"/>
        <v>0</v>
      </c>
      <c r="AD56" s="517">
        <f t="shared" si="27"/>
        <v>0</v>
      </c>
      <c r="AE56" s="517">
        <f t="shared" si="27"/>
        <v>0</v>
      </c>
      <c r="AF56" s="517">
        <f t="shared" si="27"/>
        <v>0</v>
      </c>
      <c r="AG56" s="517">
        <f t="shared" si="27"/>
        <v>0</v>
      </c>
      <c r="AH56" s="517">
        <f t="shared" si="27"/>
        <v>0</v>
      </c>
      <c r="AI56" s="517">
        <f t="shared" si="27"/>
        <v>0</v>
      </c>
      <c r="AJ56" s="517">
        <f t="shared" si="27"/>
        <v>0</v>
      </c>
      <c r="AK56" s="517">
        <f t="shared" si="27"/>
        <v>0</v>
      </c>
      <c r="AL56" s="517">
        <f t="shared" si="27"/>
        <v>0</v>
      </c>
      <c r="AM56" s="517">
        <f t="shared" si="27"/>
        <v>0</v>
      </c>
      <c r="AN56" s="517">
        <f t="shared" si="27"/>
        <v>0</v>
      </c>
      <c r="AO56" s="517">
        <f t="shared" si="27"/>
        <v>0</v>
      </c>
      <c r="AP56" s="517">
        <f t="shared" si="27"/>
        <v>0</v>
      </c>
      <c r="AQ56" s="517">
        <f t="shared" si="27"/>
        <v>0</v>
      </c>
      <c r="AR56" s="517">
        <f t="shared" si="27"/>
        <v>0</v>
      </c>
      <c r="AS56" s="517">
        <f t="shared" si="27"/>
        <v>0</v>
      </c>
      <c r="AT56" s="517">
        <f t="shared" si="27"/>
        <v>0</v>
      </c>
      <c r="AU56" s="517">
        <f t="shared" si="27"/>
        <v>0</v>
      </c>
      <c r="AV56" s="517">
        <f t="shared" si="27"/>
        <v>0</v>
      </c>
      <c r="AW56" s="517">
        <f t="shared" si="27"/>
        <v>0</v>
      </c>
      <c r="AX56" s="517">
        <f t="shared" si="27"/>
        <v>0</v>
      </c>
      <c r="AY56" s="517">
        <f t="shared" si="27"/>
        <v>0</v>
      </c>
      <c r="AZ56" s="517">
        <f t="shared" si="27"/>
        <v>0</v>
      </c>
      <c r="BA56" s="517">
        <f t="shared" si="27"/>
        <v>0</v>
      </c>
      <c r="BB56" s="517">
        <f t="shared" si="27"/>
        <v>0</v>
      </c>
      <c r="BC56" s="517">
        <f t="shared" si="27"/>
        <v>0</v>
      </c>
      <c r="BD56" s="517">
        <f t="shared" si="27"/>
        <v>0</v>
      </c>
      <c r="BE56" s="534">
        <f>SUM(טבלה35[[#This Row],[1]:[50]])</f>
        <v>0</v>
      </c>
      <c r="BF56" s="538"/>
      <c r="BG56" s="581" t="str">
        <f>טבלה35[[#This Row],[פרודוקטים]]</f>
        <v>טחינה</v>
      </c>
      <c r="BJ56" s="531"/>
      <c r="BK56" s="531"/>
      <c r="BL56" s="531"/>
    </row>
    <row r="57" spans="1:65">
      <c r="A57" s="518" t="s">
        <v>896</v>
      </c>
      <c r="B57" s="518">
        <v>397</v>
      </c>
      <c r="C57" s="518" t="s">
        <v>719</v>
      </c>
      <c r="D57" s="530" t="s">
        <v>702</v>
      </c>
      <c r="E57" s="530"/>
      <c r="F57" s="523">
        <f>1/10</f>
        <v>0.1</v>
      </c>
      <c r="G57" s="517">
        <f>ROUNDUP($F57*G$2,0)</f>
        <v>0</v>
      </c>
      <c r="H57" s="517">
        <f t="shared" si="27"/>
        <v>0</v>
      </c>
      <c r="I57" s="517">
        <f t="shared" si="27"/>
        <v>0</v>
      </c>
      <c r="J57" s="517">
        <f t="shared" si="27"/>
        <v>0</v>
      </c>
      <c r="K57" s="517">
        <f t="shared" si="27"/>
        <v>0</v>
      </c>
      <c r="L57" s="517">
        <f t="shared" si="27"/>
        <v>0</v>
      </c>
      <c r="M57" s="517">
        <f t="shared" si="27"/>
        <v>0</v>
      </c>
      <c r="N57" s="517">
        <f t="shared" si="27"/>
        <v>0</v>
      </c>
      <c r="O57" s="517">
        <f t="shared" si="27"/>
        <v>0</v>
      </c>
      <c r="P57" s="517">
        <f t="shared" si="27"/>
        <v>0</v>
      </c>
      <c r="Q57" s="517">
        <f t="shared" si="27"/>
        <v>0</v>
      </c>
      <c r="R57" s="517">
        <f t="shared" si="27"/>
        <v>0</v>
      </c>
      <c r="S57" s="517">
        <f t="shared" si="27"/>
        <v>0</v>
      </c>
      <c r="T57" s="517">
        <f t="shared" si="27"/>
        <v>0</v>
      </c>
      <c r="U57" s="517">
        <f t="shared" si="27"/>
        <v>0</v>
      </c>
      <c r="V57" s="517">
        <f t="shared" si="27"/>
        <v>0</v>
      </c>
      <c r="W57" s="517">
        <f t="shared" si="27"/>
        <v>0</v>
      </c>
      <c r="X57" s="517">
        <f t="shared" si="27"/>
        <v>0</v>
      </c>
      <c r="Y57" s="517">
        <f t="shared" si="27"/>
        <v>0</v>
      </c>
      <c r="Z57" s="517">
        <f t="shared" si="27"/>
        <v>0</v>
      </c>
      <c r="AA57" s="517">
        <f t="shared" si="27"/>
        <v>0</v>
      </c>
      <c r="AB57" s="517">
        <f t="shared" si="27"/>
        <v>0</v>
      </c>
      <c r="AC57" s="517">
        <f t="shared" si="27"/>
        <v>0</v>
      </c>
      <c r="AD57" s="517">
        <f t="shared" si="27"/>
        <v>0</v>
      </c>
      <c r="AE57" s="517">
        <f t="shared" si="27"/>
        <v>0</v>
      </c>
      <c r="AF57" s="517">
        <f t="shared" si="27"/>
        <v>0</v>
      </c>
      <c r="AG57" s="517">
        <f t="shared" si="27"/>
        <v>0</v>
      </c>
      <c r="AH57" s="517">
        <f t="shared" si="27"/>
        <v>0</v>
      </c>
      <c r="AI57" s="517">
        <f t="shared" si="27"/>
        <v>0</v>
      </c>
      <c r="AJ57" s="517">
        <f t="shared" si="27"/>
        <v>0</v>
      </c>
      <c r="AK57" s="517">
        <f t="shared" si="27"/>
        <v>0</v>
      </c>
      <c r="AL57" s="517">
        <f t="shared" si="27"/>
        <v>0</v>
      </c>
      <c r="AM57" s="517">
        <f t="shared" si="27"/>
        <v>0</v>
      </c>
      <c r="AN57" s="517">
        <f t="shared" si="27"/>
        <v>0</v>
      </c>
      <c r="AO57" s="517">
        <f t="shared" si="27"/>
        <v>0</v>
      </c>
      <c r="AP57" s="517">
        <f t="shared" si="27"/>
        <v>0</v>
      </c>
      <c r="AQ57" s="517">
        <f t="shared" si="27"/>
        <v>0</v>
      </c>
      <c r="AR57" s="517">
        <f t="shared" si="27"/>
        <v>0</v>
      </c>
      <c r="AS57" s="517">
        <f t="shared" si="27"/>
        <v>0</v>
      </c>
      <c r="AT57" s="517">
        <f t="shared" si="27"/>
        <v>0</v>
      </c>
      <c r="AU57" s="517">
        <f t="shared" si="27"/>
        <v>0</v>
      </c>
      <c r="AV57" s="517">
        <f t="shared" si="27"/>
        <v>0</v>
      </c>
      <c r="AW57" s="517">
        <f t="shared" si="27"/>
        <v>0</v>
      </c>
      <c r="AX57" s="517">
        <f t="shared" si="27"/>
        <v>0</v>
      </c>
      <c r="AY57" s="517">
        <f t="shared" si="27"/>
        <v>0</v>
      </c>
      <c r="AZ57" s="517">
        <f t="shared" si="27"/>
        <v>0</v>
      </c>
      <c r="BA57" s="517">
        <f t="shared" si="27"/>
        <v>0</v>
      </c>
      <c r="BB57" s="517">
        <f t="shared" si="27"/>
        <v>0</v>
      </c>
      <c r="BC57" s="517">
        <f t="shared" si="27"/>
        <v>0</v>
      </c>
      <c r="BD57" s="517">
        <f t="shared" si="27"/>
        <v>0</v>
      </c>
      <c r="BE57" s="534">
        <f>SUM(טבלה35[[#This Row],[1]:[50]])</f>
        <v>0</v>
      </c>
      <c r="BF57" s="534"/>
      <c r="BG57" s="581" t="str">
        <f>טבלה35[[#This Row],[פרודוקטים]]</f>
        <v>לימון טרי</v>
      </c>
      <c r="BJ57" s="531"/>
      <c r="BK57" s="531"/>
      <c r="BL57" s="531"/>
      <c r="BM57" s="531"/>
    </row>
    <row r="58" spans="1:65">
      <c r="A58" s="518" t="s">
        <v>896</v>
      </c>
      <c r="B58" s="518">
        <v>364</v>
      </c>
      <c r="C58" s="518" t="s">
        <v>926</v>
      </c>
      <c r="D58" s="520" t="s">
        <v>889</v>
      </c>
      <c r="E58" s="520"/>
      <c r="F58" s="523">
        <f>1/20</f>
        <v>0.05</v>
      </c>
      <c r="G58" s="517">
        <f t="shared" ref="G58:V61" si="29">ROUNDUP($F58*G$2,0)</f>
        <v>0</v>
      </c>
      <c r="H58" s="517">
        <f t="shared" si="29"/>
        <v>0</v>
      </c>
      <c r="I58" s="517">
        <f t="shared" si="29"/>
        <v>0</v>
      </c>
      <c r="J58" s="517">
        <f t="shared" si="29"/>
        <v>0</v>
      </c>
      <c r="K58" s="517">
        <f t="shared" si="29"/>
        <v>0</v>
      </c>
      <c r="L58" s="517">
        <f t="shared" si="29"/>
        <v>0</v>
      </c>
      <c r="M58" s="517">
        <f t="shared" si="29"/>
        <v>0</v>
      </c>
      <c r="N58" s="517">
        <f t="shared" si="29"/>
        <v>0</v>
      </c>
      <c r="O58" s="517">
        <f t="shared" si="29"/>
        <v>0</v>
      </c>
      <c r="P58" s="517">
        <f t="shared" si="29"/>
        <v>0</v>
      </c>
      <c r="Q58" s="517">
        <f t="shared" si="29"/>
        <v>0</v>
      </c>
      <c r="R58" s="517">
        <f t="shared" si="29"/>
        <v>0</v>
      </c>
      <c r="S58" s="517">
        <f t="shared" si="29"/>
        <v>0</v>
      </c>
      <c r="T58" s="517">
        <f t="shared" si="29"/>
        <v>0</v>
      </c>
      <c r="U58" s="517">
        <f t="shared" si="29"/>
        <v>0</v>
      </c>
      <c r="V58" s="517">
        <f t="shared" si="29"/>
        <v>0</v>
      </c>
      <c r="W58" s="517">
        <f t="shared" si="27"/>
        <v>0</v>
      </c>
      <c r="X58" s="517">
        <f t="shared" si="27"/>
        <v>0</v>
      </c>
      <c r="Y58" s="517">
        <f t="shared" si="27"/>
        <v>0</v>
      </c>
      <c r="Z58" s="517">
        <f t="shared" si="27"/>
        <v>0</v>
      </c>
      <c r="AA58" s="517">
        <f t="shared" si="27"/>
        <v>0</v>
      </c>
      <c r="AB58" s="517">
        <f t="shared" si="27"/>
        <v>0</v>
      </c>
      <c r="AC58" s="517">
        <f t="shared" si="27"/>
        <v>0</v>
      </c>
      <c r="AD58" s="517">
        <f t="shared" si="27"/>
        <v>0</v>
      </c>
      <c r="AE58" s="517">
        <f t="shared" si="27"/>
        <v>0</v>
      </c>
      <c r="AF58" s="517">
        <f t="shared" si="27"/>
        <v>0</v>
      </c>
      <c r="AG58" s="517">
        <f t="shared" si="27"/>
        <v>0</v>
      </c>
      <c r="AH58" s="517">
        <f t="shared" si="27"/>
        <v>0</v>
      </c>
      <c r="AI58" s="517">
        <f t="shared" si="27"/>
        <v>0</v>
      </c>
      <c r="AJ58" s="517">
        <f t="shared" si="27"/>
        <v>0</v>
      </c>
      <c r="AK58" s="517">
        <f t="shared" si="27"/>
        <v>0</v>
      </c>
      <c r="AL58" s="517">
        <f t="shared" si="27"/>
        <v>0</v>
      </c>
      <c r="AM58" s="517">
        <f t="shared" si="27"/>
        <v>0</v>
      </c>
      <c r="AN58" s="517">
        <f t="shared" si="27"/>
        <v>0</v>
      </c>
      <c r="AO58" s="517">
        <f t="shared" si="27"/>
        <v>0</v>
      </c>
      <c r="AP58" s="517">
        <f t="shared" si="27"/>
        <v>0</v>
      </c>
      <c r="AQ58" s="517">
        <f t="shared" si="27"/>
        <v>0</v>
      </c>
      <c r="AR58" s="517">
        <f t="shared" si="27"/>
        <v>0</v>
      </c>
      <c r="AS58" s="517">
        <f t="shared" si="27"/>
        <v>0</v>
      </c>
      <c r="AT58" s="517">
        <f t="shared" si="27"/>
        <v>0</v>
      </c>
      <c r="AU58" s="517">
        <f t="shared" si="27"/>
        <v>0</v>
      </c>
      <c r="AV58" s="517">
        <f t="shared" ref="H58:BD61" si="30">ROUNDUP($F58*AV$2,0)</f>
        <v>0</v>
      </c>
      <c r="AW58" s="517">
        <f t="shared" si="30"/>
        <v>0</v>
      </c>
      <c r="AX58" s="517">
        <f t="shared" si="30"/>
        <v>0</v>
      </c>
      <c r="AY58" s="517">
        <f t="shared" si="30"/>
        <v>0</v>
      </c>
      <c r="AZ58" s="517">
        <f t="shared" si="30"/>
        <v>0</v>
      </c>
      <c r="BA58" s="517">
        <f t="shared" si="30"/>
        <v>0</v>
      </c>
      <c r="BB58" s="517">
        <f t="shared" si="30"/>
        <v>0</v>
      </c>
      <c r="BC58" s="517">
        <f t="shared" si="30"/>
        <v>0</v>
      </c>
      <c r="BD58" s="517">
        <f t="shared" si="30"/>
        <v>0</v>
      </c>
      <c r="BE58" s="534">
        <f>SUM(טבלה35[[#This Row],[1]:[50]])</f>
        <v>0</v>
      </c>
      <c r="BF58" s="534"/>
      <c r="BG58" s="581" t="str">
        <f>טבלה35[[#This Row],[פרודוקטים]]</f>
        <v>כרוב</v>
      </c>
      <c r="BJ58" s="531"/>
      <c r="BK58" s="531"/>
      <c r="BL58" s="531"/>
      <c r="BM58" s="531"/>
    </row>
    <row r="59" spans="1:65">
      <c r="A59" s="518" t="s">
        <v>896</v>
      </c>
      <c r="B59" s="518">
        <v>2969</v>
      </c>
      <c r="C59" s="518" t="s">
        <v>899</v>
      </c>
      <c r="D59" s="520" t="s">
        <v>894</v>
      </c>
      <c r="E59" s="520"/>
      <c r="F59" s="523">
        <v>3.3333333333333333E-2</v>
      </c>
      <c r="G59" s="517">
        <f t="shared" si="29"/>
        <v>0</v>
      </c>
      <c r="H59" s="517">
        <f t="shared" si="30"/>
        <v>0</v>
      </c>
      <c r="I59" s="517">
        <f t="shared" si="30"/>
        <v>0</v>
      </c>
      <c r="J59" s="517">
        <f t="shared" si="30"/>
        <v>0</v>
      </c>
      <c r="K59" s="517">
        <f t="shared" si="30"/>
        <v>0</v>
      </c>
      <c r="L59" s="517">
        <f t="shared" si="30"/>
        <v>0</v>
      </c>
      <c r="M59" s="517">
        <f t="shared" si="30"/>
        <v>0</v>
      </c>
      <c r="N59" s="517">
        <f t="shared" si="30"/>
        <v>0</v>
      </c>
      <c r="O59" s="517">
        <f t="shared" si="30"/>
        <v>0</v>
      </c>
      <c r="P59" s="517">
        <f t="shared" si="30"/>
        <v>0</v>
      </c>
      <c r="Q59" s="517">
        <f t="shared" si="30"/>
        <v>0</v>
      </c>
      <c r="R59" s="517">
        <f t="shared" si="30"/>
        <v>0</v>
      </c>
      <c r="S59" s="517">
        <f t="shared" si="30"/>
        <v>0</v>
      </c>
      <c r="T59" s="517">
        <f t="shared" si="30"/>
        <v>0</v>
      </c>
      <c r="U59" s="517">
        <f t="shared" si="30"/>
        <v>0</v>
      </c>
      <c r="V59" s="517">
        <f t="shared" si="30"/>
        <v>0</v>
      </c>
      <c r="W59" s="517">
        <f t="shared" si="30"/>
        <v>0</v>
      </c>
      <c r="X59" s="517">
        <f t="shared" si="30"/>
        <v>0</v>
      </c>
      <c r="Y59" s="517">
        <f t="shared" si="30"/>
        <v>0</v>
      </c>
      <c r="Z59" s="517">
        <f t="shared" si="30"/>
        <v>0</v>
      </c>
      <c r="AA59" s="517">
        <f t="shared" si="30"/>
        <v>0</v>
      </c>
      <c r="AB59" s="517">
        <f t="shared" si="30"/>
        <v>0</v>
      </c>
      <c r="AC59" s="517">
        <f t="shared" si="30"/>
        <v>0</v>
      </c>
      <c r="AD59" s="517">
        <f t="shared" si="30"/>
        <v>0</v>
      </c>
      <c r="AE59" s="517">
        <f t="shared" si="30"/>
        <v>0</v>
      </c>
      <c r="AF59" s="517">
        <f t="shared" si="30"/>
        <v>0</v>
      </c>
      <c r="AG59" s="517">
        <f t="shared" si="30"/>
        <v>0</v>
      </c>
      <c r="AH59" s="517">
        <f t="shared" si="30"/>
        <v>0</v>
      </c>
      <c r="AI59" s="517">
        <f t="shared" si="30"/>
        <v>0</v>
      </c>
      <c r="AJ59" s="517">
        <f t="shared" si="30"/>
        <v>0</v>
      </c>
      <c r="AK59" s="517">
        <f t="shared" si="30"/>
        <v>0</v>
      </c>
      <c r="AL59" s="517">
        <f t="shared" si="30"/>
        <v>0</v>
      </c>
      <c r="AM59" s="517">
        <f t="shared" si="30"/>
        <v>0</v>
      </c>
      <c r="AN59" s="517">
        <f t="shared" si="30"/>
        <v>0</v>
      </c>
      <c r="AO59" s="517">
        <f t="shared" si="30"/>
        <v>0</v>
      </c>
      <c r="AP59" s="517">
        <f t="shared" si="30"/>
        <v>0</v>
      </c>
      <c r="AQ59" s="517">
        <f t="shared" si="30"/>
        <v>0</v>
      </c>
      <c r="AR59" s="517">
        <f t="shared" si="30"/>
        <v>0</v>
      </c>
      <c r="AS59" s="517">
        <f t="shared" si="30"/>
        <v>0</v>
      </c>
      <c r="AT59" s="517">
        <f t="shared" si="30"/>
        <v>0</v>
      </c>
      <c r="AU59" s="517">
        <f t="shared" si="30"/>
        <v>0</v>
      </c>
      <c r="AV59" s="517">
        <f t="shared" si="30"/>
        <v>0</v>
      </c>
      <c r="AW59" s="517">
        <f t="shared" si="30"/>
        <v>0</v>
      </c>
      <c r="AX59" s="517">
        <f t="shared" si="30"/>
        <v>0</v>
      </c>
      <c r="AY59" s="517">
        <f t="shared" si="30"/>
        <v>0</v>
      </c>
      <c r="AZ59" s="517">
        <f t="shared" si="30"/>
        <v>0</v>
      </c>
      <c r="BA59" s="517">
        <f t="shared" si="30"/>
        <v>0</v>
      </c>
      <c r="BB59" s="517">
        <f t="shared" si="30"/>
        <v>0</v>
      </c>
      <c r="BC59" s="517">
        <f t="shared" si="30"/>
        <v>0</v>
      </c>
      <c r="BD59" s="517">
        <f t="shared" si="30"/>
        <v>0</v>
      </c>
      <c r="BE59" s="534">
        <f>SUM(טבלה35[[#This Row],[1]:[50]])</f>
        <v>0</v>
      </c>
      <c r="BF59" s="534"/>
      <c r="BG59" s="581" t="str">
        <f>טבלה35[[#This Row],[פרודוקטים]]</f>
        <v>לקט</v>
      </c>
      <c r="BJ59" s="531"/>
      <c r="BK59" s="531"/>
      <c r="BL59" s="531"/>
    </row>
    <row r="60" spans="1:65">
      <c r="A60" s="518" t="s">
        <v>896</v>
      </c>
      <c r="B60" s="518">
        <v>8455</v>
      </c>
      <c r="C60" s="518" t="s">
        <v>23</v>
      </c>
      <c r="D60" s="530" t="s">
        <v>720</v>
      </c>
      <c r="E60" s="530"/>
      <c r="F60" s="523">
        <v>7.1428571428571425E-2</v>
      </c>
      <c r="G60" s="517">
        <f>ROUNDUP($F60*G$2,0)</f>
        <v>0</v>
      </c>
      <c r="H60" s="517">
        <f t="shared" si="30"/>
        <v>0</v>
      </c>
      <c r="I60" s="517">
        <f t="shared" si="30"/>
        <v>0</v>
      </c>
      <c r="J60" s="517">
        <f t="shared" si="30"/>
        <v>0</v>
      </c>
      <c r="K60" s="517">
        <f t="shared" si="30"/>
        <v>0</v>
      </c>
      <c r="L60" s="517">
        <f t="shared" si="30"/>
        <v>0</v>
      </c>
      <c r="M60" s="517">
        <f t="shared" si="30"/>
        <v>0</v>
      </c>
      <c r="N60" s="517">
        <f t="shared" si="30"/>
        <v>0</v>
      </c>
      <c r="O60" s="517">
        <f t="shared" si="30"/>
        <v>0</v>
      </c>
      <c r="P60" s="517">
        <f t="shared" si="30"/>
        <v>0</v>
      </c>
      <c r="Q60" s="517">
        <f t="shared" si="30"/>
        <v>0</v>
      </c>
      <c r="R60" s="517">
        <f t="shared" si="30"/>
        <v>0</v>
      </c>
      <c r="S60" s="517">
        <f t="shared" si="30"/>
        <v>0</v>
      </c>
      <c r="T60" s="517">
        <f t="shared" si="30"/>
        <v>0</v>
      </c>
      <c r="U60" s="517">
        <f t="shared" si="30"/>
        <v>0</v>
      </c>
      <c r="V60" s="517">
        <f t="shared" si="30"/>
        <v>0</v>
      </c>
      <c r="W60" s="517">
        <f t="shared" si="30"/>
        <v>0</v>
      </c>
      <c r="X60" s="517">
        <f t="shared" si="30"/>
        <v>0</v>
      </c>
      <c r="Y60" s="517">
        <f t="shared" si="30"/>
        <v>0</v>
      </c>
      <c r="Z60" s="517">
        <f t="shared" si="30"/>
        <v>0</v>
      </c>
      <c r="AA60" s="517">
        <f t="shared" si="30"/>
        <v>0</v>
      </c>
      <c r="AB60" s="517">
        <f t="shared" si="30"/>
        <v>0</v>
      </c>
      <c r="AC60" s="517">
        <f t="shared" si="30"/>
        <v>0</v>
      </c>
      <c r="AD60" s="517">
        <f t="shared" si="30"/>
        <v>0</v>
      </c>
      <c r="AE60" s="517">
        <f t="shared" si="30"/>
        <v>0</v>
      </c>
      <c r="AF60" s="517">
        <f t="shared" si="30"/>
        <v>0</v>
      </c>
      <c r="AG60" s="517">
        <f t="shared" si="30"/>
        <v>0</v>
      </c>
      <c r="AH60" s="517">
        <f t="shared" si="30"/>
        <v>0</v>
      </c>
      <c r="AI60" s="517">
        <f t="shared" si="30"/>
        <v>0</v>
      </c>
      <c r="AJ60" s="517">
        <f t="shared" si="30"/>
        <v>0</v>
      </c>
      <c r="AK60" s="517">
        <f t="shared" si="30"/>
        <v>0</v>
      </c>
      <c r="AL60" s="517">
        <f t="shared" si="30"/>
        <v>0</v>
      </c>
      <c r="AM60" s="517">
        <f t="shared" si="30"/>
        <v>0</v>
      </c>
      <c r="AN60" s="517">
        <f t="shared" si="30"/>
        <v>0</v>
      </c>
      <c r="AO60" s="517">
        <f t="shared" si="30"/>
        <v>0</v>
      </c>
      <c r="AP60" s="517">
        <f t="shared" si="30"/>
        <v>0</v>
      </c>
      <c r="AQ60" s="517">
        <f t="shared" si="30"/>
        <v>0</v>
      </c>
      <c r="AR60" s="517">
        <f t="shared" si="30"/>
        <v>0</v>
      </c>
      <c r="AS60" s="517">
        <f t="shared" si="30"/>
        <v>0</v>
      </c>
      <c r="AT60" s="517">
        <f t="shared" si="30"/>
        <v>0</v>
      </c>
      <c r="AU60" s="517">
        <f t="shared" si="30"/>
        <v>0</v>
      </c>
      <c r="AV60" s="517">
        <f t="shared" si="30"/>
        <v>0</v>
      </c>
      <c r="AW60" s="517">
        <f t="shared" si="30"/>
        <v>0</v>
      </c>
      <c r="AX60" s="517">
        <f t="shared" si="30"/>
        <v>0</v>
      </c>
      <c r="AY60" s="517">
        <f t="shared" si="30"/>
        <v>0</v>
      </c>
      <c r="AZ60" s="517">
        <f t="shared" si="30"/>
        <v>0</v>
      </c>
      <c r="BA60" s="517">
        <f t="shared" si="30"/>
        <v>0</v>
      </c>
      <c r="BB60" s="517">
        <f t="shared" si="30"/>
        <v>0</v>
      </c>
      <c r="BC60" s="517">
        <f t="shared" si="30"/>
        <v>0</v>
      </c>
      <c r="BD60" s="517">
        <f t="shared" si="30"/>
        <v>0</v>
      </c>
      <c r="BE60" s="534">
        <f>SUM(טבלה35[[#This Row],[1]:[50]])</f>
        <v>0</v>
      </c>
      <c r="BF60" s="534"/>
      <c r="BG60" s="581" t="str">
        <f>טבלה35[[#This Row],[פרודוקטים]]</f>
        <v>לחם פרוס אחיד</v>
      </c>
      <c r="BJ60" s="531"/>
      <c r="BK60" s="531"/>
      <c r="BL60" s="531"/>
    </row>
    <row r="61" spans="1:65">
      <c r="A61" s="518" t="s">
        <v>896</v>
      </c>
      <c r="B61" s="518">
        <v>6666</v>
      </c>
      <c r="C61" s="518" t="s">
        <v>900</v>
      </c>
      <c r="D61" s="520" t="s">
        <v>910</v>
      </c>
      <c r="E61" s="520"/>
      <c r="F61" s="523">
        <f>1/60</f>
        <v>1.6666666666666666E-2</v>
      </c>
      <c r="G61" s="517">
        <f t="shared" si="29"/>
        <v>0</v>
      </c>
      <c r="H61" s="517">
        <f t="shared" si="30"/>
        <v>0</v>
      </c>
      <c r="I61" s="517">
        <f t="shared" si="30"/>
        <v>0</v>
      </c>
      <c r="J61" s="517">
        <f t="shared" si="30"/>
        <v>0</v>
      </c>
      <c r="K61" s="517">
        <f t="shared" si="30"/>
        <v>0</v>
      </c>
      <c r="L61" s="517">
        <f t="shared" si="30"/>
        <v>0</v>
      </c>
      <c r="M61" s="517">
        <f t="shared" si="30"/>
        <v>0</v>
      </c>
      <c r="N61" s="517">
        <f t="shared" si="30"/>
        <v>0</v>
      </c>
      <c r="O61" s="517">
        <f t="shared" si="30"/>
        <v>0</v>
      </c>
      <c r="P61" s="517">
        <f t="shared" si="30"/>
        <v>0</v>
      </c>
      <c r="Q61" s="517">
        <f t="shared" si="30"/>
        <v>0</v>
      </c>
      <c r="R61" s="517">
        <f t="shared" si="30"/>
        <v>0</v>
      </c>
      <c r="S61" s="517">
        <f t="shared" si="30"/>
        <v>0</v>
      </c>
      <c r="T61" s="517">
        <f t="shared" si="30"/>
        <v>0</v>
      </c>
      <c r="U61" s="517">
        <f t="shared" si="30"/>
        <v>0</v>
      </c>
      <c r="V61" s="517">
        <f t="shared" si="30"/>
        <v>0</v>
      </c>
      <c r="W61" s="517">
        <f t="shared" si="30"/>
        <v>0</v>
      </c>
      <c r="X61" s="517">
        <f t="shared" si="30"/>
        <v>0</v>
      </c>
      <c r="Y61" s="517">
        <f t="shared" si="30"/>
        <v>0</v>
      </c>
      <c r="Z61" s="517">
        <f t="shared" si="30"/>
        <v>0</v>
      </c>
      <c r="AA61" s="517">
        <f t="shared" si="30"/>
        <v>0</v>
      </c>
      <c r="AB61" s="517">
        <f t="shared" si="30"/>
        <v>0</v>
      </c>
      <c r="AC61" s="517">
        <f t="shared" si="30"/>
        <v>0</v>
      </c>
      <c r="AD61" s="517">
        <f t="shared" si="30"/>
        <v>0</v>
      </c>
      <c r="AE61" s="517">
        <f t="shared" si="30"/>
        <v>0</v>
      </c>
      <c r="AF61" s="517">
        <f t="shared" si="30"/>
        <v>0</v>
      </c>
      <c r="AG61" s="517">
        <f t="shared" si="30"/>
        <v>0</v>
      </c>
      <c r="AH61" s="517">
        <f t="shared" si="30"/>
        <v>0</v>
      </c>
      <c r="AI61" s="517">
        <f t="shared" si="30"/>
        <v>0</v>
      </c>
      <c r="AJ61" s="517">
        <f t="shared" si="30"/>
        <v>0</v>
      </c>
      <c r="AK61" s="517">
        <f t="shared" si="30"/>
        <v>0</v>
      </c>
      <c r="AL61" s="517">
        <f t="shared" si="30"/>
        <v>0</v>
      </c>
      <c r="AM61" s="517">
        <f t="shared" si="30"/>
        <v>0</v>
      </c>
      <c r="AN61" s="517">
        <f t="shared" si="30"/>
        <v>0</v>
      </c>
      <c r="AO61" s="517">
        <f t="shared" si="30"/>
        <v>0</v>
      </c>
      <c r="AP61" s="517">
        <f t="shared" si="30"/>
        <v>0</v>
      </c>
      <c r="AQ61" s="517">
        <f t="shared" si="30"/>
        <v>0</v>
      </c>
      <c r="AR61" s="517">
        <f t="shared" si="30"/>
        <v>0</v>
      </c>
      <c r="AS61" s="517">
        <f t="shared" si="30"/>
        <v>0</v>
      </c>
      <c r="AT61" s="517">
        <f t="shared" si="30"/>
        <v>0</v>
      </c>
      <c r="AU61" s="517">
        <f t="shared" si="30"/>
        <v>0</v>
      </c>
      <c r="AV61" s="517">
        <f t="shared" si="30"/>
        <v>0</v>
      </c>
      <c r="AW61" s="517">
        <f t="shared" si="30"/>
        <v>0</v>
      </c>
      <c r="AX61" s="517">
        <f t="shared" si="30"/>
        <v>0</v>
      </c>
      <c r="AY61" s="517">
        <f t="shared" si="30"/>
        <v>0</v>
      </c>
      <c r="AZ61" s="517">
        <f t="shared" si="30"/>
        <v>0</v>
      </c>
      <c r="BA61" s="517">
        <f t="shared" si="30"/>
        <v>0</v>
      </c>
      <c r="BB61" s="517">
        <f t="shared" si="30"/>
        <v>0</v>
      </c>
      <c r="BC61" s="517">
        <f t="shared" si="30"/>
        <v>0</v>
      </c>
      <c r="BD61" s="517">
        <f t="shared" si="30"/>
        <v>0</v>
      </c>
      <c r="BE61" s="534">
        <f>SUM(טבלה35[[#This Row],[1]:[50]])</f>
        <v>0</v>
      </c>
      <c r="BF61" s="534"/>
      <c r="BG61" s="581" t="str">
        <f>טבלה35[[#This Row],[פרודוקטים]]</f>
        <v xml:space="preserve">רוטב סויה </v>
      </c>
      <c r="BJ61" s="531"/>
      <c r="BK61" s="531"/>
      <c r="BL61" s="531"/>
    </row>
    <row r="62" spans="1:65">
      <c r="A62" s="518" t="s">
        <v>896</v>
      </c>
      <c r="B62" s="518">
        <v>9502</v>
      </c>
      <c r="C62" s="518" t="s">
        <v>723</v>
      </c>
      <c r="D62" s="573" t="s">
        <v>736</v>
      </c>
      <c r="E62" s="573"/>
      <c r="F62" s="522">
        <v>120</v>
      </c>
      <c r="G62" s="517">
        <f>ROUNDUP($F62*(G$4+G$3),0)</f>
        <v>0</v>
      </c>
      <c r="H62" s="517">
        <f t="shared" ref="H62:BD62" si="31">ROUNDUP($F62*(H$4+H$3),0)</f>
        <v>0</v>
      </c>
      <c r="I62" s="517">
        <f t="shared" si="31"/>
        <v>0</v>
      </c>
      <c r="J62" s="517">
        <f t="shared" si="31"/>
        <v>0</v>
      </c>
      <c r="K62" s="517">
        <f t="shared" si="31"/>
        <v>0</v>
      </c>
      <c r="L62" s="517">
        <f t="shared" si="31"/>
        <v>0</v>
      </c>
      <c r="M62" s="517">
        <f t="shared" si="31"/>
        <v>0</v>
      </c>
      <c r="N62" s="517">
        <f t="shared" si="31"/>
        <v>0</v>
      </c>
      <c r="O62" s="517">
        <f t="shared" si="31"/>
        <v>0</v>
      </c>
      <c r="P62" s="517">
        <f t="shared" si="31"/>
        <v>0</v>
      </c>
      <c r="Q62" s="517">
        <f t="shared" si="31"/>
        <v>0</v>
      </c>
      <c r="R62" s="517">
        <f t="shared" si="31"/>
        <v>0</v>
      </c>
      <c r="S62" s="517">
        <f t="shared" si="31"/>
        <v>0</v>
      </c>
      <c r="T62" s="517">
        <f t="shared" si="31"/>
        <v>0</v>
      </c>
      <c r="U62" s="517">
        <f t="shared" si="31"/>
        <v>0</v>
      </c>
      <c r="V62" s="517">
        <f t="shared" si="31"/>
        <v>0</v>
      </c>
      <c r="W62" s="517">
        <f t="shared" si="31"/>
        <v>0</v>
      </c>
      <c r="X62" s="517">
        <f t="shared" si="31"/>
        <v>0</v>
      </c>
      <c r="Y62" s="517">
        <f t="shared" si="31"/>
        <v>0</v>
      </c>
      <c r="Z62" s="517">
        <f t="shared" si="31"/>
        <v>0</v>
      </c>
      <c r="AA62" s="517">
        <f t="shared" si="31"/>
        <v>0</v>
      </c>
      <c r="AB62" s="517">
        <f t="shared" si="31"/>
        <v>0</v>
      </c>
      <c r="AC62" s="517">
        <f t="shared" si="31"/>
        <v>0</v>
      </c>
      <c r="AD62" s="517">
        <f t="shared" si="31"/>
        <v>0</v>
      </c>
      <c r="AE62" s="517">
        <f t="shared" si="31"/>
        <v>0</v>
      </c>
      <c r="AF62" s="517">
        <f t="shared" si="31"/>
        <v>0</v>
      </c>
      <c r="AG62" s="517">
        <f t="shared" si="31"/>
        <v>0</v>
      </c>
      <c r="AH62" s="517">
        <f t="shared" si="31"/>
        <v>0</v>
      </c>
      <c r="AI62" s="517">
        <f t="shared" si="31"/>
        <v>0</v>
      </c>
      <c r="AJ62" s="517">
        <f t="shared" si="31"/>
        <v>0</v>
      </c>
      <c r="AK62" s="517">
        <f t="shared" si="31"/>
        <v>0</v>
      </c>
      <c r="AL62" s="517">
        <f t="shared" si="31"/>
        <v>0</v>
      </c>
      <c r="AM62" s="517">
        <f t="shared" si="31"/>
        <v>0</v>
      </c>
      <c r="AN62" s="517">
        <f t="shared" si="31"/>
        <v>0</v>
      </c>
      <c r="AO62" s="517">
        <f t="shared" si="31"/>
        <v>0</v>
      </c>
      <c r="AP62" s="517">
        <f t="shared" si="31"/>
        <v>0</v>
      </c>
      <c r="AQ62" s="517">
        <f t="shared" si="31"/>
        <v>0</v>
      </c>
      <c r="AR62" s="517">
        <f t="shared" si="31"/>
        <v>0</v>
      </c>
      <c r="AS62" s="517">
        <f t="shared" si="31"/>
        <v>0</v>
      </c>
      <c r="AT62" s="517">
        <f t="shared" si="31"/>
        <v>0</v>
      </c>
      <c r="AU62" s="517">
        <f t="shared" si="31"/>
        <v>0</v>
      </c>
      <c r="AV62" s="517">
        <f t="shared" si="31"/>
        <v>0</v>
      </c>
      <c r="AW62" s="517">
        <f t="shared" si="31"/>
        <v>0</v>
      </c>
      <c r="AX62" s="517">
        <f t="shared" si="31"/>
        <v>0</v>
      </c>
      <c r="AY62" s="517">
        <f t="shared" si="31"/>
        <v>0</v>
      </c>
      <c r="AZ62" s="517">
        <f t="shared" si="31"/>
        <v>0</v>
      </c>
      <c r="BA62" s="517">
        <f t="shared" si="31"/>
        <v>0</v>
      </c>
      <c r="BB62" s="517">
        <f t="shared" si="31"/>
        <v>0</v>
      </c>
      <c r="BC62" s="517">
        <f t="shared" si="31"/>
        <v>0</v>
      </c>
      <c r="BD62" s="517">
        <f t="shared" si="31"/>
        <v>0</v>
      </c>
      <c r="BE62" s="534">
        <f>SUM(טבלה35[[#This Row],[1]:[50]])</f>
        <v>0</v>
      </c>
      <c r="BF62" s="534"/>
      <c r="BG62" s="581" t="str">
        <f>טבלה35[[#This Row],[פרודוקטים]]</f>
        <v>לטקס תפוא</v>
      </c>
      <c r="BJ62" s="531"/>
      <c r="BK62" s="531"/>
      <c r="BL62" s="531"/>
    </row>
    <row r="63" spans="1:65">
      <c r="A63" s="518" t="s">
        <v>896</v>
      </c>
      <c r="B63" s="518">
        <v>11710</v>
      </c>
      <c r="C63" s="518" t="s">
        <v>112</v>
      </c>
      <c r="D63" s="573" t="s">
        <v>629</v>
      </c>
      <c r="E63" s="573"/>
      <c r="F63" s="522">
        <v>1</v>
      </c>
      <c r="G63" s="517">
        <f>ROUNDUP($F63*G$5,0)</f>
        <v>0</v>
      </c>
      <c r="H63" s="517">
        <f t="shared" ref="H63:BD63" si="32">ROUNDUP($F63*H$5,0)</f>
        <v>0</v>
      </c>
      <c r="I63" s="517">
        <f t="shared" si="32"/>
        <v>0</v>
      </c>
      <c r="J63" s="517">
        <f t="shared" si="32"/>
        <v>0</v>
      </c>
      <c r="K63" s="517">
        <f t="shared" si="32"/>
        <v>0</v>
      </c>
      <c r="L63" s="517">
        <f t="shared" si="32"/>
        <v>0</v>
      </c>
      <c r="M63" s="517">
        <f t="shared" si="32"/>
        <v>0</v>
      </c>
      <c r="N63" s="517">
        <f t="shared" si="32"/>
        <v>0</v>
      </c>
      <c r="O63" s="517">
        <f t="shared" si="32"/>
        <v>0</v>
      </c>
      <c r="P63" s="517">
        <f t="shared" si="32"/>
        <v>0</v>
      </c>
      <c r="Q63" s="517">
        <f t="shared" si="32"/>
        <v>0</v>
      </c>
      <c r="R63" s="517">
        <f t="shared" si="32"/>
        <v>0</v>
      </c>
      <c r="S63" s="517">
        <f t="shared" si="32"/>
        <v>0</v>
      </c>
      <c r="T63" s="517">
        <f t="shared" si="32"/>
        <v>0</v>
      </c>
      <c r="U63" s="517">
        <f t="shared" si="32"/>
        <v>0</v>
      </c>
      <c r="V63" s="517">
        <f t="shared" si="32"/>
        <v>0</v>
      </c>
      <c r="W63" s="517">
        <f t="shared" si="32"/>
        <v>0</v>
      </c>
      <c r="X63" s="517">
        <f t="shared" si="32"/>
        <v>0</v>
      </c>
      <c r="Y63" s="517">
        <f t="shared" si="32"/>
        <v>0</v>
      </c>
      <c r="Z63" s="517">
        <f t="shared" si="32"/>
        <v>0</v>
      </c>
      <c r="AA63" s="517">
        <f t="shared" si="32"/>
        <v>0</v>
      </c>
      <c r="AB63" s="517">
        <f t="shared" si="32"/>
        <v>0</v>
      </c>
      <c r="AC63" s="517">
        <f t="shared" si="32"/>
        <v>0</v>
      </c>
      <c r="AD63" s="517">
        <f t="shared" si="32"/>
        <v>0</v>
      </c>
      <c r="AE63" s="517">
        <f t="shared" si="32"/>
        <v>0</v>
      </c>
      <c r="AF63" s="517">
        <f t="shared" si="32"/>
        <v>0</v>
      </c>
      <c r="AG63" s="517">
        <f t="shared" si="32"/>
        <v>0</v>
      </c>
      <c r="AH63" s="517">
        <f t="shared" si="32"/>
        <v>0</v>
      </c>
      <c r="AI63" s="517">
        <f t="shared" si="32"/>
        <v>0</v>
      </c>
      <c r="AJ63" s="517">
        <f t="shared" si="32"/>
        <v>0</v>
      </c>
      <c r="AK63" s="517">
        <f t="shared" si="32"/>
        <v>0</v>
      </c>
      <c r="AL63" s="517">
        <f t="shared" si="32"/>
        <v>0</v>
      </c>
      <c r="AM63" s="517">
        <f t="shared" si="32"/>
        <v>0</v>
      </c>
      <c r="AN63" s="517">
        <f t="shared" si="32"/>
        <v>0</v>
      </c>
      <c r="AO63" s="517">
        <f t="shared" si="32"/>
        <v>0</v>
      </c>
      <c r="AP63" s="517">
        <f t="shared" si="32"/>
        <v>0</v>
      </c>
      <c r="AQ63" s="517">
        <f t="shared" si="32"/>
        <v>0</v>
      </c>
      <c r="AR63" s="517">
        <f t="shared" si="32"/>
        <v>0</v>
      </c>
      <c r="AS63" s="517">
        <f t="shared" si="32"/>
        <v>0</v>
      </c>
      <c r="AT63" s="517">
        <f t="shared" si="32"/>
        <v>0</v>
      </c>
      <c r="AU63" s="517">
        <f t="shared" si="32"/>
        <v>0</v>
      </c>
      <c r="AV63" s="517">
        <f t="shared" si="32"/>
        <v>0</v>
      </c>
      <c r="AW63" s="517">
        <f t="shared" si="32"/>
        <v>0</v>
      </c>
      <c r="AX63" s="517">
        <f t="shared" si="32"/>
        <v>0</v>
      </c>
      <c r="AY63" s="517">
        <f t="shared" si="32"/>
        <v>0</v>
      </c>
      <c r="AZ63" s="517">
        <f t="shared" si="32"/>
        <v>0</v>
      </c>
      <c r="BA63" s="517">
        <f t="shared" si="32"/>
        <v>0</v>
      </c>
      <c r="BB63" s="517">
        <f t="shared" si="32"/>
        <v>0</v>
      </c>
      <c r="BC63" s="517">
        <f t="shared" si="32"/>
        <v>0</v>
      </c>
      <c r="BD63" s="517">
        <f t="shared" si="32"/>
        <v>0</v>
      </c>
      <c r="BE63" s="534">
        <f>SUM(טבלה35[[#This Row],[1]:[50]])</f>
        <v>0</v>
      </c>
      <c r="BF63" s="534"/>
      <c r="BG63" s="581" t="str">
        <f>טבלה35[[#This Row],[פרודוקטים]]</f>
        <v>מנה צליאק</v>
      </c>
      <c r="BJ63" s="531"/>
      <c r="BK63" s="531"/>
      <c r="BL63" s="531"/>
    </row>
    <row r="64" spans="1:65">
      <c r="A64" s="518" t="s">
        <v>896</v>
      </c>
      <c r="B64" s="518">
        <v>6689</v>
      </c>
      <c r="C64" s="518" t="s">
        <v>25</v>
      </c>
      <c r="D64" s="573" t="s">
        <v>889</v>
      </c>
      <c r="E64" s="573"/>
      <c r="F64" s="523">
        <f>1/20</f>
        <v>0.05</v>
      </c>
      <c r="G64" s="517">
        <f>ROUNDUP($F64*G$2,0)</f>
        <v>0</v>
      </c>
      <c r="H64" s="517">
        <f t="shared" ref="H64:BD64" si="33">ROUNDUP($F64*H$2,0)</f>
        <v>0</v>
      </c>
      <c r="I64" s="517">
        <f t="shared" si="33"/>
        <v>0</v>
      </c>
      <c r="J64" s="517">
        <f t="shared" si="33"/>
        <v>0</v>
      </c>
      <c r="K64" s="517">
        <f t="shared" si="33"/>
        <v>0</v>
      </c>
      <c r="L64" s="517">
        <f t="shared" si="33"/>
        <v>0</v>
      </c>
      <c r="M64" s="517">
        <f t="shared" si="33"/>
        <v>0</v>
      </c>
      <c r="N64" s="517">
        <f t="shared" si="33"/>
        <v>0</v>
      </c>
      <c r="O64" s="517">
        <f t="shared" si="33"/>
        <v>0</v>
      </c>
      <c r="P64" s="517">
        <f t="shared" si="33"/>
        <v>0</v>
      </c>
      <c r="Q64" s="517">
        <f t="shared" si="33"/>
        <v>0</v>
      </c>
      <c r="R64" s="517">
        <f t="shared" si="33"/>
        <v>0</v>
      </c>
      <c r="S64" s="517">
        <f t="shared" si="33"/>
        <v>0</v>
      </c>
      <c r="T64" s="517">
        <f t="shared" si="33"/>
        <v>0</v>
      </c>
      <c r="U64" s="517">
        <f t="shared" si="33"/>
        <v>0</v>
      </c>
      <c r="V64" s="517">
        <f t="shared" si="33"/>
        <v>0</v>
      </c>
      <c r="W64" s="517">
        <f t="shared" si="33"/>
        <v>0</v>
      </c>
      <c r="X64" s="517">
        <f t="shared" si="33"/>
        <v>0</v>
      </c>
      <c r="Y64" s="517">
        <f t="shared" si="33"/>
        <v>0</v>
      </c>
      <c r="Z64" s="517">
        <f t="shared" si="33"/>
        <v>0</v>
      </c>
      <c r="AA64" s="517">
        <f t="shared" si="33"/>
        <v>0</v>
      </c>
      <c r="AB64" s="517">
        <f t="shared" si="33"/>
        <v>0</v>
      </c>
      <c r="AC64" s="517">
        <f t="shared" si="33"/>
        <v>0</v>
      </c>
      <c r="AD64" s="517">
        <f t="shared" si="33"/>
        <v>0</v>
      </c>
      <c r="AE64" s="517">
        <f t="shared" si="33"/>
        <v>0</v>
      </c>
      <c r="AF64" s="517">
        <f t="shared" si="33"/>
        <v>0</v>
      </c>
      <c r="AG64" s="517">
        <f t="shared" si="33"/>
        <v>0</v>
      </c>
      <c r="AH64" s="517">
        <f t="shared" si="33"/>
        <v>0</v>
      </c>
      <c r="AI64" s="517">
        <f t="shared" si="33"/>
        <v>0</v>
      </c>
      <c r="AJ64" s="517">
        <f t="shared" si="33"/>
        <v>0</v>
      </c>
      <c r="AK64" s="517">
        <f t="shared" si="33"/>
        <v>0</v>
      </c>
      <c r="AL64" s="517">
        <f t="shared" si="33"/>
        <v>0</v>
      </c>
      <c r="AM64" s="517">
        <f t="shared" si="33"/>
        <v>0</v>
      </c>
      <c r="AN64" s="517">
        <f t="shared" si="33"/>
        <v>0</v>
      </c>
      <c r="AO64" s="517">
        <f t="shared" si="33"/>
        <v>0</v>
      </c>
      <c r="AP64" s="517">
        <f t="shared" si="33"/>
        <v>0</v>
      </c>
      <c r="AQ64" s="517">
        <f t="shared" si="33"/>
        <v>0</v>
      </c>
      <c r="AR64" s="517">
        <f t="shared" si="33"/>
        <v>0</v>
      </c>
      <c r="AS64" s="517">
        <f t="shared" si="33"/>
        <v>0</v>
      </c>
      <c r="AT64" s="517">
        <f t="shared" si="33"/>
        <v>0</v>
      </c>
      <c r="AU64" s="517">
        <f t="shared" si="33"/>
        <v>0</v>
      </c>
      <c r="AV64" s="517">
        <f t="shared" si="33"/>
        <v>0</v>
      </c>
      <c r="AW64" s="517">
        <f t="shared" si="33"/>
        <v>0</v>
      </c>
      <c r="AX64" s="517">
        <f t="shared" si="33"/>
        <v>0</v>
      </c>
      <c r="AY64" s="517">
        <f t="shared" si="33"/>
        <v>0</v>
      </c>
      <c r="AZ64" s="517">
        <f t="shared" si="33"/>
        <v>0</v>
      </c>
      <c r="BA64" s="517">
        <f t="shared" si="33"/>
        <v>0</v>
      </c>
      <c r="BB64" s="517">
        <f t="shared" si="33"/>
        <v>0</v>
      </c>
      <c r="BC64" s="517">
        <f t="shared" si="33"/>
        <v>0</v>
      </c>
      <c r="BD64" s="517">
        <f t="shared" si="33"/>
        <v>0</v>
      </c>
      <c r="BE64" s="534">
        <f>SUM(טבלה35[[#This Row],[1]:[50]])</f>
        <v>0</v>
      </c>
      <c r="BF64" s="534"/>
      <c r="BG64" s="581" t="str">
        <f>טבלה35[[#This Row],[פרודוקטים]]</f>
        <v>שמן</v>
      </c>
      <c r="BJ64" s="531"/>
      <c r="BK64" s="531"/>
      <c r="BL64" s="531"/>
    </row>
    <row r="65" spans="1:64">
      <c r="A65" s="518" t="s">
        <v>896</v>
      </c>
      <c r="B65" s="518">
        <v>6600</v>
      </c>
      <c r="C65" s="518" t="s">
        <v>106</v>
      </c>
      <c r="D65" s="573" t="s">
        <v>924</v>
      </c>
      <c r="E65" s="573"/>
      <c r="F65" s="523">
        <v>50</v>
      </c>
      <c r="G65" s="517">
        <f>IF(G$2&gt;0,$F65,0)</f>
        <v>0</v>
      </c>
      <c r="H65" s="517">
        <f t="shared" ref="H65:BD66" si="34">IF(H$2&gt;0,$F65,0)</f>
        <v>0</v>
      </c>
      <c r="I65" s="517">
        <f t="shared" si="34"/>
        <v>0</v>
      </c>
      <c r="J65" s="517">
        <f t="shared" si="34"/>
        <v>0</v>
      </c>
      <c r="K65" s="517">
        <f t="shared" si="34"/>
        <v>0</v>
      </c>
      <c r="L65" s="517">
        <f t="shared" si="34"/>
        <v>0</v>
      </c>
      <c r="M65" s="517">
        <f t="shared" si="34"/>
        <v>0</v>
      </c>
      <c r="N65" s="517">
        <f t="shared" si="34"/>
        <v>0</v>
      </c>
      <c r="O65" s="517">
        <f t="shared" si="34"/>
        <v>0</v>
      </c>
      <c r="P65" s="517">
        <f t="shared" si="34"/>
        <v>0</v>
      </c>
      <c r="Q65" s="517">
        <f t="shared" si="34"/>
        <v>0</v>
      </c>
      <c r="R65" s="517">
        <f t="shared" si="34"/>
        <v>0</v>
      </c>
      <c r="S65" s="517">
        <f t="shared" si="34"/>
        <v>0</v>
      </c>
      <c r="T65" s="517">
        <f t="shared" si="34"/>
        <v>0</v>
      </c>
      <c r="U65" s="517">
        <f t="shared" si="34"/>
        <v>0</v>
      </c>
      <c r="V65" s="517">
        <f t="shared" si="34"/>
        <v>0</v>
      </c>
      <c r="W65" s="517">
        <f t="shared" si="34"/>
        <v>0</v>
      </c>
      <c r="X65" s="517">
        <f t="shared" si="34"/>
        <v>0</v>
      </c>
      <c r="Y65" s="517">
        <f t="shared" si="34"/>
        <v>0</v>
      </c>
      <c r="Z65" s="517">
        <f t="shared" si="34"/>
        <v>0</v>
      </c>
      <c r="AA65" s="517">
        <f t="shared" si="34"/>
        <v>0</v>
      </c>
      <c r="AB65" s="517">
        <f t="shared" si="34"/>
        <v>0</v>
      </c>
      <c r="AC65" s="517">
        <f t="shared" si="34"/>
        <v>0</v>
      </c>
      <c r="AD65" s="517">
        <f t="shared" si="34"/>
        <v>0</v>
      </c>
      <c r="AE65" s="517">
        <f t="shared" si="34"/>
        <v>0</v>
      </c>
      <c r="AF65" s="517">
        <f t="shared" si="34"/>
        <v>0</v>
      </c>
      <c r="AG65" s="517">
        <f t="shared" si="34"/>
        <v>0</v>
      </c>
      <c r="AH65" s="517">
        <f t="shared" si="34"/>
        <v>0</v>
      </c>
      <c r="AI65" s="517">
        <f t="shared" si="34"/>
        <v>0</v>
      </c>
      <c r="AJ65" s="517">
        <f t="shared" si="34"/>
        <v>0</v>
      </c>
      <c r="AK65" s="517">
        <f t="shared" si="34"/>
        <v>0</v>
      </c>
      <c r="AL65" s="517">
        <f t="shared" si="34"/>
        <v>0</v>
      </c>
      <c r="AM65" s="517">
        <f t="shared" si="34"/>
        <v>0</v>
      </c>
      <c r="AN65" s="517">
        <f t="shared" si="34"/>
        <v>0</v>
      </c>
      <c r="AO65" s="517">
        <f t="shared" si="34"/>
        <v>0</v>
      </c>
      <c r="AP65" s="517">
        <f t="shared" si="34"/>
        <v>0</v>
      </c>
      <c r="AQ65" s="517">
        <f t="shared" si="34"/>
        <v>0</v>
      </c>
      <c r="AR65" s="517">
        <f t="shared" si="34"/>
        <v>0</v>
      </c>
      <c r="AS65" s="517">
        <f t="shared" si="34"/>
        <v>0</v>
      </c>
      <c r="AT65" s="517">
        <f t="shared" si="34"/>
        <v>0</v>
      </c>
      <c r="AU65" s="517">
        <f t="shared" si="34"/>
        <v>0</v>
      </c>
      <c r="AV65" s="517">
        <f t="shared" si="34"/>
        <v>0</v>
      </c>
      <c r="AW65" s="517">
        <f t="shared" si="34"/>
        <v>0</v>
      </c>
      <c r="AX65" s="517">
        <f t="shared" si="34"/>
        <v>0</v>
      </c>
      <c r="AY65" s="517">
        <f t="shared" si="34"/>
        <v>0</v>
      </c>
      <c r="AZ65" s="517">
        <f t="shared" si="34"/>
        <v>0</v>
      </c>
      <c r="BA65" s="517">
        <f t="shared" si="34"/>
        <v>0</v>
      </c>
      <c r="BB65" s="517">
        <f t="shared" si="34"/>
        <v>0</v>
      </c>
      <c r="BC65" s="517">
        <f t="shared" si="34"/>
        <v>0</v>
      </c>
      <c r="BD65" s="517">
        <f t="shared" si="34"/>
        <v>0</v>
      </c>
      <c r="BE65" s="534">
        <f>SUM(טבלה35[[#This Row],[1]:[50]])</f>
        <v>0</v>
      </c>
      <c r="BF65" s="534"/>
      <c r="BG65" s="581" t="str">
        <f>טבלה35[[#This Row],[פרודוקטים]]</f>
        <v>מלח</v>
      </c>
      <c r="BJ65" s="531"/>
      <c r="BK65" s="531"/>
      <c r="BL65" s="531"/>
    </row>
    <row r="66" spans="1:64">
      <c r="A66" s="518" t="s">
        <v>896</v>
      </c>
      <c r="B66" s="518">
        <v>688</v>
      </c>
      <c r="C66" s="518" t="s">
        <v>727</v>
      </c>
      <c r="D66" s="573" t="s">
        <v>925</v>
      </c>
      <c r="E66" s="573"/>
      <c r="F66" s="523">
        <v>20</v>
      </c>
      <c r="G66" s="517">
        <f>IF(G$2&gt;0,$F66,0)</f>
        <v>0</v>
      </c>
      <c r="H66" s="517">
        <f t="shared" si="34"/>
        <v>0</v>
      </c>
      <c r="I66" s="517">
        <f t="shared" si="34"/>
        <v>0</v>
      </c>
      <c r="J66" s="517">
        <f t="shared" si="34"/>
        <v>0</v>
      </c>
      <c r="K66" s="517">
        <f t="shared" si="34"/>
        <v>0</v>
      </c>
      <c r="L66" s="517">
        <f t="shared" si="34"/>
        <v>0</v>
      </c>
      <c r="M66" s="517">
        <f t="shared" si="34"/>
        <v>0</v>
      </c>
      <c r="N66" s="517">
        <f t="shared" si="34"/>
        <v>0</v>
      </c>
      <c r="O66" s="517">
        <f t="shared" si="34"/>
        <v>0</v>
      </c>
      <c r="P66" s="517">
        <f t="shared" si="34"/>
        <v>0</v>
      </c>
      <c r="Q66" s="517">
        <f t="shared" si="34"/>
        <v>0</v>
      </c>
      <c r="R66" s="517">
        <f t="shared" si="34"/>
        <v>0</v>
      </c>
      <c r="S66" s="517">
        <f t="shared" si="34"/>
        <v>0</v>
      </c>
      <c r="T66" s="517">
        <f t="shared" si="34"/>
        <v>0</v>
      </c>
      <c r="U66" s="517">
        <f t="shared" si="34"/>
        <v>0</v>
      </c>
      <c r="V66" s="517">
        <f t="shared" si="34"/>
        <v>0</v>
      </c>
      <c r="W66" s="517">
        <f t="shared" si="34"/>
        <v>0</v>
      </c>
      <c r="X66" s="517">
        <f t="shared" si="34"/>
        <v>0</v>
      </c>
      <c r="Y66" s="517">
        <f t="shared" si="34"/>
        <v>0</v>
      </c>
      <c r="Z66" s="517">
        <f t="shared" si="34"/>
        <v>0</v>
      </c>
      <c r="AA66" s="517">
        <f t="shared" si="34"/>
        <v>0</v>
      </c>
      <c r="AB66" s="517">
        <f t="shared" si="34"/>
        <v>0</v>
      </c>
      <c r="AC66" s="517">
        <f t="shared" si="34"/>
        <v>0</v>
      </c>
      <c r="AD66" s="517">
        <f t="shared" si="34"/>
        <v>0</v>
      </c>
      <c r="AE66" s="517">
        <f t="shared" si="34"/>
        <v>0</v>
      </c>
      <c r="AF66" s="517">
        <f t="shared" si="34"/>
        <v>0</v>
      </c>
      <c r="AG66" s="517">
        <f t="shared" si="34"/>
        <v>0</v>
      </c>
      <c r="AH66" s="517">
        <f t="shared" si="34"/>
        <v>0</v>
      </c>
      <c r="AI66" s="517">
        <f t="shared" si="34"/>
        <v>0</v>
      </c>
      <c r="AJ66" s="517">
        <f t="shared" si="34"/>
        <v>0</v>
      </c>
      <c r="AK66" s="517">
        <f t="shared" si="34"/>
        <v>0</v>
      </c>
      <c r="AL66" s="517">
        <f t="shared" si="34"/>
        <v>0</v>
      </c>
      <c r="AM66" s="517">
        <f t="shared" si="34"/>
        <v>0</v>
      </c>
      <c r="AN66" s="517">
        <f t="shared" si="34"/>
        <v>0</v>
      </c>
      <c r="AO66" s="517">
        <f t="shared" si="34"/>
        <v>0</v>
      </c>
      <c r="AP66" s="517">
        <f t="shared" si="34"/>
        <v>0</v>
      </c>
      <c r="AQ66" s="517">
        <f t="shared" si="34"/>
        <v>0</v>
      </c>
      <c r="AR66" s="517">
        <f t="shared" si="34"/>
        <v>0</v>
      </c>
      <c r="AS66" s="517">
        <f t="shared" si="34"/>
        <v>0</v>
      </c>
      <c r="AT66" s="517">
        <f t="shared" si="34"/>
        <v>0</v>
      </c>
      <c r="AU66" s="517">
        <f t="shared" si="34"/>
        <v>0</v>
      </c>
      <c r="AV66" s="517">
        <f t="shared" si="34"/>
        <v>0</v>
      </c>
      <c r="AW66" s="517">
        <f t="shared" si="34"/>
        <v>0</v>
      </c>
      <c r="AX66" s="517">
        <f t="shared" si="34"/>
        <v>0</v>
      </c>
      <c r="AY66" s="517">
        <f t="shared" si="34"/>
        <v>0</v>
      </c>
      <c r="AZ66" s="517">
        <f t="shared" si="34"/>
        <v>0</v>
      </c>
      <c r="BA66" s="517">
        <f t="shared" si="34"/>
        <v>0</v>
      </c>
      <c r="BB66" s="517">
        <f t="shared" si="34"/>
        <v>0</v>
      </c>
      <c r="BC66" s="517">
        <f t="shared" si="34"/>
        <v>0</v>
      </c>
      <c r="BD66" s="517">
        <f t="shared" si="34"/>
        <v>0</v>
      </c>
      <c r="BE66" s="534">
        <f>SUM(טבלה35[[#This Row],[1]:[50]])</f>
        <v>0</v>
      </c>
      <c r="BF66" s="534"/>
      <c r="BG66" s="581" t="str">
        <f>טבלה35[[#This Row],[פרודוקטים]]</f>
        <v>פלפל</v>
      </c>
      <c r="BJ66" s="531"/>
      <c r="BK66" s="531"/>
      <c r="BL66" s="531"/>
    </row>
    <row r="67" spans="1:64">
      <c r="A67" s="518" t="s">
        <v>896</v>
      </c>
      <c r="B67" s="518" t="s">
        <v>574</v>
      </c>
      <c r="C67" s="518" t="s">
        <v>32</v>
      </c>
      <c r="D67" s="573" t="s">
        <v>729</v>
      </c>
      <c r="E67" s="573"/>
      <c r="F67" s="522">
        <v>1.2</v>
      </c>
      <c r="G67" s="517">
        <f>ROUNDUP($F67*G$2,0)</f>
        <v>0</v>
      </c>
      <c r="H67" s="517">
        <f t="shared" ref="H67:BD70" si="35">ROUNDUP($F67*H$2,0)</f>
        <v>0</v>
      </c>
      <c r="I67" s="517">
        <f t="shared" si="35"/>
        <v>0</v>
      </c>
      <c r="J67" s="517">
        <f t="shared" si="35"/>
        <v>0</v>
      </c>
      <c r="K67" s="517">
        <f t="shared" si="35"/>
        <v>0</v>
      </c>
      <c r="L67" s="517">
        <f t="shared" si="35"/>
        <v>0</v>
      </c>
      <c r="M67" s="517">
        <f t="shared" si="35"/>
        <v>0</v>
      </c>
      <c r="N67" s="517">
        <f t="shared" si="35"/>
        <v>0</v>
      </c>
      <c r="O67" s="517">
        <f t="shared" si="35"/>
        <v>0</v>
      </c>
      <c r="P67" s="517">
        <f t="shared" si="35"/>
        <v>0</v>
      </c>
      <c r="Q67" s="517">
        <f t="shared" si="35"/>
        <v>0</v>
      </c>
      <c r="R67" s="517">
        <f t="shared" si="35"/>
        <v>0</v>
      </c>
      <c r="S67" s="517">
        <f t="shared" si="35"/>
        <v>0</v>
      </c>
      <c r="T67" s="517">
        <f t="shared" si="35"/>
        <v>0</v>
      </c>
      <c r="U67" s="517">
        <f t="shared" si="35"/>
        <v>0</v>
      </c>
      <c r="V67" s="517">
        <f t="shared" si="35"/>
        <v>0</v>
      </c>
      <c r="W67" s="517">
        <f t="shared" si="35"/>
        <v>0</v>
      </c>
      <c r="X67" s="517">
        <f t="shared" si="35"/>
        <v>0</v>
      </c>
      <c r="Y67" s="517">
        <f t="shared" si="35"/>
        <v>0</v>
      </c>
      <c r="Z67" s="517">
        <f t="shared" si="35"/>
        <v>0</v>
      </c>
      <c r="AA67" s="517">
        <f t="shared" si="35"/>
        <v>0</v>
      </c>
      <c r="AB67" s="517">
        <f t="shared" si="35"/>
        <v>0</v>
      </c>
      <c r="AC67" s="517">
        <f t="shared" si="35"/>
        <v>0</v>
      </c>
      <c r="AD67" s="517">
        <f t="shared" si="35"/>
        <v>0</v>
      </c>
      <c r="AE67" s="517">
        <f t="shared" si="35"/>
        <v>0</v>
      </c>
      <c r="AF67" s="517">
        <f t="shared" si="35"/>
        <v>0</v>
      </c>
      <c r="AG67" s="517">
        <f t="shared" si="35"/>
        <v>0</v>
      </c>
      <c r="AH67" s="517">
        <f t="shared" si="35"/>
        <v>0</v>
      </c>
      <c r="AI67" s="517">
        <f t="shared" si="35"/>
        <v>0</v>
      </c>
      <c r="AJ67" s="517">
        <f t="shared" si="35"/>
        <v>0</v>
      </c>
      <c r="AK67" s="517">
        <f t="shared" si="35"/>
        <v>0</v>
      </c>
      <c r="AL67" s="517">
        <f t="shared" si="35"/>
        <v>0</v>
      </c>
      <c r="AM67" s="517">
        <f t="shared" si="35"/>
        <v>0</v>
      </c>
      <c r="AN67" s="517">
        <f t="shared" si="35"/>
        <v>0</v>
      </c>
      <c r="AO67" s="517">
        <f t="shared" si="35"/>
        <v>0</v>
      </c>
      <c r="AP67" s="517">
        <f t="shared" si="35"/>
        <v>0</v>
      </c>
      <c r="AQ67" s="517">
        <f t="shared" si="35"/>
        <v>0</v>
      </c>
      <c r="AR67" s="517">
        <f t="shared" si="35"/>
        <v>0</v>
      </c>
      <c r="AS67" s="517">
        <f t="shared" si="35"/>
        <v>0</v>
      </c>
      <c r="AT67" s="517">
        <f t="shared" si="35"/>
        <v>0</v>
      </c>
      <c r="AU67" s="517">
        <f t="shared" si="35"/>
        <v>0</v>
      </c>
      <c r="AV67" s="517">
        <f t="shared" si="35"/>
        <v>0</v>
      </c>
      <c r="AW67" s="517">
        <f t="shared" si="35"/>
        <v>0</v>
      </c>
      <c r="AX67" s="517">
        <f t="shared" si="35"/>
        <v>0</v>
      </c>
      <c r="AY67" s="517">
        <f t="shared" si="35"/>
        <v>0</v>
      </c>
      <c r="AZ67" s="517">
        <f t="shared" si="35"/>
        <v>0</v>
      </c>
      <c r="BA67" s="517">
        <f t="shared" si="35"/>
        <v>0</v>
      </c>
      <c r="BB67" s="517">
        <f t="shared" si="35"/>
        <v>0</v>
      </c>
      <c r="BC67" s="517">
        <f t="shared" si="35"/>
        <v>0</v>
      </c>
      <c r="BD67" s="517">
        <f t="shared" si="35"/>
        <v>0</v>
      </c>
      <c r="BE67" s="534">
        <f>SUM(טבלה35[[#This Row],[1]:[50]])</f>
        <v>0</v>
      </c>
      <c r="BF67" s="534"/>
      <c r="BG67" s="581" t="str">
        <f>טבלה35[[#This Row],[פרודוקטים]]</f>
        <v>סכין</v>
      </c>
      <c r="BL67" s="531"/>
    </row>
    <row r="68" spans="1:64">
      <c r="A68" s="518" t="s">
        <v>896</v>
      </c>
      <c r="B68" s="518" t="s">
        <v>575</v>
      </c>
      <c r="C68" s="518" t="s">
        <v>33</v>
      </c>
      <c r="D68" s="573" t="s">
        <v>729</v>
      </c>
      <c r="E68" s="573"/>
      <c r="F68" s="522">
        <v>1.2</v>
      </c>
      <c r="G68" s="517">
        <f>ROUNDUP($F68*G$2,0)</f>
        <v>0</v>
      </c>
      <c r="H68" s="517">
        <f t="shared" si="35"/>
        <v>0</v>
      </c>
      <c r="I68" s="517">
        <f t="shared" si="35"/>
        <v>0</v>
      </c>
      <c r="J68" s="517">
        <f t="shared" si="35"/>
        <v>0</v>
      </c>
      <c r="K68" s="517">
        <f t="shared" si="35"/>
        <v>0</v>
      </c>
      <c r="L68" s="517">
        <f t="shared" si="35"/>
        <v>0</v>
      </c>
      <c r="M68" s="517">
        <f t="shared" si="35"/>
        <v>0</v>
      </c>
      <c r="N68" s="517">
        <f t="shared" si="35"/>
        <v>0</v>
      </c>
      <c r="O68" s="517">
        <f t="shared" si="35"/>
        <v>0</v>
      </c>
      <c r="P68" s="517">
        <f t="shared" si="35"/>
        <v>0</v>
      </c>
      <c r="Q68" s="517">
        <f t="shared" si="35"/>
        <v>0</v>
      </c>
      <c r="R68" s="517">
        <f t="shared" si="35"/>
        <v>0</v>
      </c>
      <c r="S68" s="517">
        <f t="shared" si="35"/>
        <v>0</v>
      </c>
      <c r="T68" s="517">
        <f t="shared" si="35"/>
        <v>0</v>
      </c>
      <c r="U68" s="517">
        <f t="shared" si="35"/>
        <v>0</v>
      </c>
      <c r="V68" s="517">
        <f t="shared" si="35"/>
        <v>0</v>
      </c>
      <c r="W68" s="517">
        <f t="shared" si="35"/>
        <v>0</v>
      </c>
      <c r="X68" s="517">
        <f t="shared" si="35"/>
        <v>0</v>
      </c>
      <c r="Y68" s="517">
        <f t="shared" si="35"/>
        <v>0</v>
      </c>
      <c r="Z68" s="517">
        <f t="shared" si="35"/>
        <v>0</v>
      </c>
      <c r="AA68" s="517">
        <f t="shared" si="35"/>
        <v>0</v>
      </c>
      <c r="AB68" s="517">
        <f t="shared" si="35"/>
        <v>0</v>
      </c>
      <c r="AC68" s="517">
        <f t="shared" si="35"/>
        <v>0</v>
      </c>
      <c r="AD68" s="517">
        <f t="shared" si="35"/>
        <v>0</v>
      </c>
      <c r="AE68" s="517">
        <f t="shared" si="35"/>
        <v>0</v>
      </c>
      <c r="AF68" s="517">
        <f t="shared" si="35"/>
        <v>0</v>
      </c>
      <c r="AG68" s="517">
        <f t="shared" si="35"/>
        <v>0</v>
      </c>
      <c r="AH68" s="517">
        <f t="shared" si="35"/>
        <v>0</v>
      </c>
      <c r="AI68" s="517">
        <f t="shared" si="35"/>
        <v>0</v>
      </c>
      <c r="AJ68" s="517">
        <f t="shared" si="35"/>
        <v>0</v>
      </c>
      <c r="AK68" s="517">
        <f t="shared" si="35"/>
        <v>0</v>
      </c>
      <c r="AL68" s="517">
        <f t="shared" si="35"/>
        <v>0</v>
      </c>
      <c r="AM68" s="517">
        <f t="shared" si="35"/>
        <v>0</v>
      </c>
      <c r="AN68" s="517">
        <f t="shared" si="35"/>
        <v>0</v>
      </c>
      <c r="AO68" s="517">
        <f t="shared" si="35"/>
        <v>0</v>
      </c>
      <c r="AP68" s="517">
        <f t="shared" si="35"/>
        <v>0</v>
      </c>
      <c r="AQ68" s="517">
        <f t="shared" si="35"/>
        <v>0</v>
      </c>
      <c r="AR68" s="517">
        <f t="shared" si="35"/>
        <v>0</v>
      </c>
      <c r="AS68" s="517">
        <f t="shared" si="35"/>
        <v>0</v>
      </c>
      <c r="AT68" s="517">
        <f t="shared" si="35"/>
        <v>0</v>
      </c>
      <c r="AU68" s="517">
        <f t="shared" si="35"/>
        <v>0</v>
      </c>
      <c r="AV68" s="517">
        <f t="shared" si="35"/>
        <v>0</v>
      </c>
      <c r="AW68" s="517">
        <f t="shared" si="35"/>
        <v>0</v>
      </c>
      <c r="AX68" s="517">
        <f t="shared" si="35"/>
        <v>0</v>
      </c>
      <c r="AY68" s="517">
        <f t="shared" si="35"/>
        <v>0</v>
      </c>
      <c r="AZ68" s="517">
        <f t="shared" si="35"/>
        <v>0</v>
      </c>
      <c r="BA68" s="517">
        <f t="shared" si="35"/>
        <v>0</v>
      </c>
      <c r="BB68" s="517">
        <f t="shared" si="35"/>
        <v>0</v>
      </c>
      <c r="BC68" s="517">
        <f t="shared" si="35"/>
        <v>0</v>
      </c>
      <c r="BD68" s="517">
        <f t="shared" si="35"/>
        <v>0</v>
      </c>
      <c r="BE68" s="534">
        <f>SUM(טבלה35[[#This Row],[1]:[50]])</f>
        <v>0</v>
      </c>
      <c r="BF68" s="534"/>
      <c r="BG68" s="581" t="str">
        <f>טבלה35[[#This Row],[פרודוקטים]]</f>
        <v>מזלג</v>
      </c>
      <c r="BK68" s="531"/>
      <c r="BL68" s="531"/>
    </row>
    <row r="69" spans="1:64">
      <c r="A69" s="518" t="s">
        <v>896</v>
      </c>
      <c r="B69" s="518" t="s">
        <v>570</v>
      </c>
      <c r="C69" s="518" t="s">
        <v>29</v>
      </c>
      <c r="D69" s="573" t="s">
        <v>729</v>
      </c>
      <c r="E69" s="573"/>
      <c r="F69" s="522">
        <v>1.2</v>
      </c>
      <c r="G69" s="517">
        <f>ROUNDUP($F69*G$2,0)</f>
        <v>0</v>
      </c>
      <c r="H69" s="517">
        <f t="shared" si="35"/>
        <v>0</v>
      </c>
      <c r="I69" s="517">
        <f t="shared" si="35"/>
        <v>0</v>
      </c>
      <c r="J69" s="517">
        <f t="shared" si="35"/>
        <v>0</v>
      </c>
      <c r="K69" s="517">
        <f t="shared" si="35"/>
        <v>0</v>
      </c>
      <c r="L69" s="517">
        <f t="shared" si="35"/>
        <v>0</v>
      </c>
      <c r="M69" s="517">
        <f t="shared" si="35"/>
        <v>0</v>
      </c>
      <c r="N69" s="517">
        <f t="shared" si="35"/>
        <v>0</v>
      </c>
      <c r="O69" s="517">
        <f t="shared" si="35"/>
        <v>0</v>
      </c>
      <c r="P69" s="517">
        <f t="shared" si="35"/>
        <v>0</v>
      </c>
      <c r="Q69" s="517">
        <f t="shared" si="35"/>
        <v>0</v>
      </c>
      <c r="R69" s="517">
        <f t="shared" si="35"/>
        <v>0</v>
      </c>
      <c r="S69" s="517">
        <f t="shared" si="35"/>
        <v>0</v>
      </c>
      <c r="T69" s="517">
        <f t="shared" si="35"/>
        <v>0</v>
      </c>
      <c r="U69" s="517">
        <f t="shared" si="35"/>
        <v>0</v>
      </c>
      <c r="V69" s="517">
        <f t="shared" si="35"/>
        <v>0</v>
      </c>
      <c r="W69" s="517">
        <f t="shared" si="35"/>
        <v>0</v>
      </c>
      <c r="X69" s="517">
        <f t="shared" si="35"/>
        <v>0</v>
      </c>
      <c r="Y69" s="517">
        <f t="shared" si="35"/>
        <v>0</v>
      </c>
      <c r="Z69" s="517">
        <f t="shared" si="35"/>
        <v>0</v>
      </c>
      <c r="AA69" s="517">
        <f t="shared" si="35"/>
        <v>0</v>
      </c>
      <c r="AB69" s="517">
        <f t="shared" si="35"/>
        <v>0</v>
      </c>
      <c r="AC69" s="517">
        <f t="shared" si="35"/>
        <v>0</v>
      </c>
      <c r="AD69" s="517">
        <f t="shared" si="35"/>
        <v>0</v>
      </c>
      <c r="AE69" s="517">
        <f t="shared" si="35"/>
        <v>0</v>
      </c>
      <c r="AF69" s="517">
        <f t="shared" si="35"/>
        <v>0</v>
      </c>
      <c r="AG69" s="517">
        <f t="shared" si="35"/>
        <v>0</v>
      </c>
      <c r="AH69" s="517">
        <f t="shared" si="35"/>
        <v>0</v>
      </c>
      <c r="AI69" s="517">
        <f t="shared" si="35"/>
        <v>0</v>
      </c>
      <c r="AJ69" s="517">
        <f t="shared" si="35"/>
        <v>0</v>
      </c>
      <c r="AK69" s="517">
        <f t="shared" si="35"/>
        <v>0</v>
      </c>
      <c r="AL69" s="517">
        <f t="shared" si="35"/>
        <v>0</v>
      </c>
      <c r="AM69" s="517">
        <f t="shared" si="35"/>
        <v>0</v>
      </c>
      <c r="AN69" s="517">
        <f t="shared" si="35"/>
        <v>0</v>
      </c>
      <c r="AO69" s="517">
        <f t="shared" si="35"/>
        <v>0</v>
      </c>
      <c r="AP69" s="517">
        <f t="shared" si="35"/>
        <v>0</v>
      </c>
      <c r="AQ69" s="517">
        <f t="shared" si="35"/>
        <v>0</v>
      </c>
      <c r="AR69" s="517">
        <f t="shared" si="35"/>
        <v>0</v>
      </c>
      <c r="AS69" s="517">
        <f t="shared" si="35"/>
        <v>0</v>
      </c>
      <c r="AT69" s="517">
        <f t="shared" si="35"/>
        <v>0</v>
      </c>
      <c r="AU69" s="517">
        <f t="shared" si="35"/>
        <v>0</v>
      </c>
      <c r="AV69" s="517">
        <f t="shared" si="35"/>
        <v>0</v>
      </c>
      <c r="AW69" s="517">
        <f t="shared" si="35"/>
        <v>0</v>
      </c>
      <c r="AX69" s="517">
        <f t="shared" si="35"/>
        <v>0</v>
      </c>
      <c r="AY69" s="517">
        <f t="shared" si="35"/>
        <v>0</v>
      </c>
      <c r="AZ69" s="517">
        <f t="shared" si="35"/>
        <v>0</v>
      </c>
      <c r="BA69" s="517">
        <f t="shared" si="35"/>
        <v>0</v>
      </c>
      <c r="BB69" s="517">
        <f t="shared" si="35"/>
        <v>0</v>
      </c>
      <c r="BC69" s="517">
        <f t="shared" si="35"/>
        <v>0</v>
      </c>
      <c r="BD69" s="517">
        <f t="shared" si="35"/>
        <v>0</v>
      </c>
      <c r="BE69" s="534">
        <f>SUM(טבלה35[[#This Row],[1]:[50]])</f>
        <v>0</v>
      </c>
      <c r="BF69" s="534"/>
      <c r="BG69" s="581" t="str">
        <f>טבלה35[[#This Row],[פרודוקטים]]</f>
        <v>צלחת אוכל חם</v>
      </c>
    </row>
    <row r="70" spans="1:64" ht="15.75" customHeight="1">
      <c r="A70" s="518" t="s">
        <v>896</v>
      </c>
      <c r="B70" s="518" t="s">
        <v>577</v>
      </c>
      <c r="C70" s="518" t="s">
        <v>34</v>
      </c>
      <c r="D70" s="530" t="s">
        <v>700</v>
      </c>
      <c r="E70" s="530"/>
      <c r="F70" s="523">
        <f>2/30</f>
        <v>6.6666666666666666E-2</v>
      </c>
      <c r="G70" s="517">
        <f>ROUNDUP($F70*G$2,0)</f>
        <v>0</v>
      </c>
      <c r="H70" s="517">
        <f t="shared" si="35"/>
        <v>0</v>
      </c>
      <c r="I70" s="517">
        <f t="shared" si="35"/>
        <v>0</v>
      </c>
      <c r="J70" s="517">
        <f t="shared" si="35"/>
        <v>0</v>
      </c>
      <c r="K70" s="517">
        <f t="shared" si="35"/>
        <v>0</v>
      </c>
      <c r="L70" s="517">
        <f t="shared" si="35"/>
        <v>0</v>
      </c>
      <c r="M70" s="517">
        <f t="shared" si="35"/>
        <v>0</v>
      </c>
      <c r="N70" s="517">
        <f t="shared" si="35"/>
        <v>0</v>
      </c>
      <c r="O70" s="517">
        <f t="shared" si="35"/>
        <v>0</v>
      </c>
      <c r="P70" s="517">
        <f t="shared" si="35"/>
        <v>0</v>
      </c>
      <c r="Q70" s="517">
        <f t="shared" si="35"/>
        <v>0</v>
      </c>
      <c r="R70" s="517">
        <f t="shared" si="35"/>
        <v>0</v>
      </c>
      <c r="S70" s="517">
        <f t="shared" si="35"/>
        <v>0</v>
      </c>
      <c r="T70" s="517">
        <f t="shared" si="35"/>
        <v>0</v>
      </c>
      <c r="U70" s="517">
        <f t="shared" si="35"/>
        <v>0</v>
      </c>
      <c r="V70" s="517">
        <f t="shared" si="35"/>
        <v>0</v>
      </c>
      <c r="W70" s="517">
        <f t="shared" si="35"/>
        <v>0</v>
      </c>
      <c r="X70" s="517">
        <f t="shared" si="35"/>
        <v>0</v>
      </c>
      <c r="Y70" s="517">
        <f t="shared" si="35"/>
        <v>0</v>
      </c>
      <c r="Z70" s="517">
        <f t="shared" si="35"/>
        <v>0</v>
      </c>
      <c r="AA70" s="517">
        <f t="shared" si="35"/>
        <v>0</v>
      </c>
      <c r="AB70" s="517">
        <f t="shared" si="35"/>
        <v>0</v>
      </c>
      <c r="AC70" s="517">
        <f t="shared" si="35"/>
        <v>0</v>
      </c>
      <c r="AD70" s="517">
        <f t="shared" si="35"/>
        <v>0</v>
      </c>
      <c r="AE70" s="517">
        <f t="shared" si="35"/>
        <v>0</v>
      </c>
      <c r="AF70" s="517">
        <f t="shared" si="35"/>
        <v>0</v>
      </c>
      <c r="AG70" s="517">
        <f t="shared" si="35"/>
        <v>0</v>
      </c>
      <c r="AH70" s="517">
        <f t="shared" si="35"/>
        <v>0</v>
      </c>
      <c r="AI70" s="517">
        <f t="shared" si="35"/>
        <v>0</v>
      </c>
      <c r="AJ70" s="517">
        <f t="shared" si="35"/>
        <v>0</v>
      </c>
      <c r="AK70" s="517">
        <f t="shared" si="35"/>
        <v>0</v>
      </c>
      <c r="AL70" s="517">
        <f t="shared" si="35"/>
        <v>0</v>
      </c>
      <c r="AM70" s="517">
        <f t="shared" si="35"/>
        <v>0</v>
      </c>
      <c r="AN70" s="517">
        <f t="shared" si="35"/>
        <v>0</v>
      </c>
      <c r="AO70" s="517">
        <f t="shared" si="35"/>
        <v>0</v>
      </c>
      <c r="AP70" s="517">
        <f t="shared" si="35"/>
        <v>0</v>
      </c>
      <c r="AQ70" s="517">
        <f t="shared" si="35"/>
        <v>0</v>
      </c>
      <c r="AR70" s="517">
        <f t="shared" si="35"/>
        <v>0</v>
      </c>
      <c r="AS70" s="517">
        <f t="shared" si="35"/>
        <v>0</v>
      </c>
      <c r="AT70" s="517">
        <f t="shared" si="35"/>
        <v>0</v>
      </c>
      <c r="AU70" s="517">
        <f t="shared" si="35"/>
        <v>0</v>
      </c>
      <c r="AV70" s="517">
        <f t="shared" si="35"/>
        <v>0</v>
      </c>
      <c r="AW70" s="517">
        <f t="shared" si="35"/>
        <v>0</v>
      </c>
      <c r="AX70" s="517">
        <f t="shared" si="35"/>
        <v>0</v>
      </c>
      <c r="AY70" s="517">
        <f t="shared" si="35"/>
        <v>0</v>
      </c>
      <c r="AZ70" s="517">
        <f t="shared" si="35"/>
        <v>0</v>
      </c>
      <c r="BA70" s="517">
        <f t="shared" si="35"/>
        <v>0</v>
      </c>
      <c r="BB70" s="517">
        <f t="shared" si="35"/>
        <v>0</v>
      </c>
      <c r="BC70" s="517">
        <f t="shared" si="35"/>
        <v>0</v>
      </c>
      <c r="BD70" s="517">
        <f t="shared" si="35"/>
        <v>0</v>
      </c>
      <c r="BE70" s="534">
        <f>SUM(טבלה35[[#This Row],[1]:[50]])</f>
        <v>0</v>
      </c>
      <c r="BF70" s="534"/>
      <c r="BG70" s="581" t="str">
        <f>טבלה35[[#This Row],[פרודוקטים]]</f>
        <v>שקית זבל</v>
      </c>
    </row>
    <row r="71" spans="1:64">
      <c r="A71" s="518" t="s">
        <v>896</v>
      </c>
      <c r="B71" s="518" t="s">
        <v>578</v>
      </c>
      <c r="C71" s="518" t="s">
        <v>35</v>
      </c>
      <c r="D71" s="530" t="s">
        <v>691</v>
      </c>
      <c r="E71" s="530"/>
      <c r="F71" s="524">
        <v>8</v>
      </c>
      <c r="G71" s="517">
        <f>IF(G$2&gt;0,$F71,0)</f>
        <v>0</v>
      </c>
      <c r="H71" s="517">
        <f t="shared" ref="H71:BD72" si="36">IF(H$2&gt;0,$F71,0)</f>
        <v>0</v>
      </c>
      <c r="I71" s="517">
        <f t="shared" si="36"/>
        <v>0</v>
      </c>
      <c r="J71" s="517">
        <f t="shared" si="36"/>
        <v>0</v>
      </c>
      <c r="K71" s="517">
        <f t="shared" si="36"/>
        <v>0</v>
      </c>
      <c r="L71" s="517">
        <f t="shared" si="36"/>
        <v>0</v>
      </c>
      <c r="M71" s="517">
        <f t="shared" si="36"/>
        <v>0</v>
      </c>
      <c r="N71" s="517">
        <f t="shared" si="36"/>
        <v>0</v>
      </c>
      <c r="O71" s="517">
        <f t="shared" si="36"/>
        <v>0</v>
      </c>
      <c r="P71" s="517">
        <f t="shared" si="36"/>
        <v>0</v>
      </c>
      <c r="Q71" s="517">
        <f t="shared" si="36"/>
        <v>0</v>
      </c>
      <c r="R71" s="517">
        <f t="shared" si="36"/>
        <v>0</v>
      </c>
      <c r="S71" s="517">
        <f t="shared" si="36"/>
        <v>0</v>
      </c>
      <c r="T71" s="517">
        <f t="shared" si="36"/>
        <v>0</v>
      </c>
      <c r="U71" s="517">
        <f t="shared" si="36"/>
        <v>0</v>
      </c>
      <c r="V71" s="517">
        <f t="shared" si="36"/>
        <v>0</v>
      </c>
      <c r="W71" s="517">
        <f t="shared" si="36"/>
        <v>0</v>
      </c>
      <c r="X71" s="517">
        <f t="shared" si="36"/>
        <v>0</v>
      </c>
      <c r="Y71" s="517">
        <f t="shared" si="36"/>
        <v>0</v>
      </c>
      <c r="Z71" s="517">
        <f t="shared" si="36"/>
        <v>0</v>
      </c>
      <c r="AA71" s="517">
        <f t="shared" si="36"/>
        <v>0</v>
      </c>
      <c r="AB71" s="517">
        <f t="shared" si="36"/>
        <v>0</v>
      </c>
      <c r="AC71" s="517">
        <f t="shared" si="36"/>
        <v>0</v>
      </c>
      <c r="AD71" s="517">
        <f t="shared" si="36"/>
        <v>0</v>
      </c>
      <c r="AE71" s="517">
        <f t="shared" si="36"/>
        <v>0</v>
      </c>
      <c r="AF71" s="517">
        <f t="shared" si="36"/>
        <v>0</v>
      </c>
      <c r="AG71" s="517">
        <f t="shared" si="36"/>
        <v>0</v>
      </c>
      <c r="AH71" s="517">
        <f t="shared" si="36"/>
        <v>0</v>
      </c>
      <c r="AI71" s="517">
        <f t="shared" si="36"/>
        <v>0</v>
      </c>
      <c r="AJ71" s="517">
        <f t="shared" si="36"/>
        <v>0</v>
      </c>
      <c r="AK71" s="517">
        <f t="shared" si="36"/>
        <v>0</v>
      </c>
      <c r="AL71" s="517">
        <f t="shared" si="36"/>
        <v>0</v>
      </c>
      <c r="AM71" s="517">
        <f t="shared" si="36"/>
        <v>0</v>
      </c>
      <c r="AN71" s="517">
        <f t="shared" si="36"/>
        <v>0</v>
      </c>
      <c r="AO71" s="517">
        <f t="shared" si="36"/>
        <v>0</v>
      </c>
      <c r="AP71" s="517">
        <f t="shared" si="36"/>
        <v>0</v>
      </c>
      <c r="AQ71" s="517">
        <f t="shared" si="36"/>
        <v>0</v>
      </c>
      <c r="AR71" s="517">
        <f t="shared" si="36"/>
        <v>0</v>
      </c>
      <c r="AS71" s="517">
        <f t="shared" si="36"/>
        <v>0</v>
      </c>
      <c r="AT71" s="517">
        <f t="shared" si="36"/>
        <v>0</v>
      </c>
      <c r="AU71" s="517">
        <f t="shared" si="36"/>
        <v>0</v>
      </c>
      <c r="AV71" s="517">
        <f t="shared" si="36"/>
        <v>0</v>
      </c>
      <c r="AW71" s="517">
        <f t="shared" si="36"/>
        <v>0</v>
      </c>
      <c r="AX71" s="517">
        <f t="shared" si="36"/>
        <v>0</v>
      </c>
      <c r="AY71" s="517">
        <f t="shared" si="36"/>
        <v>0</v>
      </c>
      <c r="AZ71" s="517">
        <f t="shared" si="36"/>
        <v>0</v>
      </c>
      <c r="BA71" s="517">
        <f t="shared" si="36"/>
        <v>0</v>
      </c>
      <c r="BB71" s="517">
        <f t="shared" si="36"/>
        <v>0</v>
      </c>
      <c r="BC71" s="517">
        <f t="shared" si="36"/>
        <v>0</v>
      </c>
      <c r="BD71" s="517">
        <f t="shared" si="36"/>
        <v>0</v>
      </c>
      <c r="BE71" s="534">
        <f>SUM(טבלה35[[#This Row],[1]:[50]])</f>
        <v>0</v>
      </c>
      <c r="BF71" s="534"/>
      <c r="BG71" s="581" t="str">
        <f>טבלה35[[#This Row],[פרודוקטים]]</f>
        <v>שקית גופיה</v>
      </c>
    </row>
    <row r="72" spans="1:64">
      <c r="A72" s="518" t="s">
        <v>896</v>
      </c>
      <c r="B72" s="518" t="s">
        <v>580</v>
      </c>
      <c r="C72" s="518" t="s">
        <v>37</v>
      </c>
      <c r="D72" s="573" t="s">
        <v>921</v>
      </c>
      <c r="E72" s="573"/>
      <c r="F72" s="522">
        <v>1</v>
      </c>
      <c r="G72" s="517">
        <f>IF(G$2&gt;0,$F72,0)</f>
        <v>0</v>
      </c>
      <c r="H72" s="517">
        <f t="shared" si="36"/>
        <v>0</v>
      </c>
      <c r="I72" s="517">
        <f t="shared" si="36"/>
        <v>0</v>
      </c>
      <c r="J72" s="517">
        <f t="shared" si="36"/>
        <v>0</v>
      </c>
      <c r="K72" s="517">
        <f t="shared" si="36"/>
        <v>0</v>
      </c>
      <c r="L72" s="517">
        <f t="shared" si="36"/>
        <v>0</v>
      </c>
      <c r="M72" s="517">
        <f t="shared" si="36"/>
        <v>0</v>
      </c>
      <c r="N72" s="517">
        <f t="shared" si="36"/>
        <v>0</v>
      </c>
      <c r="O72" s="517">
        <f t="shared" si="36"/>
        <v>0</v>
      </c>
      <c r="P72" s="517">
        <f t="shared" si="36"/>
        <v>0</v>
      </c>
      <c r="Q72" s="517">
        <f t="shared" si="36"/>
        <v>0</v>
      </c>
      <c r="R72" s="517">
        <f t="shared" si="36"/>
        <v>0</v>
      </c>
      <c r="S72" s="517">
        <f t="shared" si="36"/>
        <v>0</v>
      </c>
      <c r="T72" s="517">
        <f t="shared" si="36"/>
        <v>0</v>
      </c>
      <c r="U72" s="517">
        <f t="shared" si="36"/>
        <v>0</v>
      </c>
      <c r="V72" s="517">
        <f t="shared" si="36"/>
        <v>0</v>
      </c>
      <c r="W72" s="517">
        <f t="shared" si="36"/>
        <v>0</v>
      </c>
      <c r="X72" s="517">
        <f t="shared" si="36"/>
        <v>0</v>
      </c>
      <c r="Y72" s="517">
        <f t="shared" si="36"/>
        <v>0</v>
      </c>
      <c r="Z72" s="517">
        <f t="shared" si="36"/>
        <v>0</v>
      </c>
      <c r="AA72" s="517">
        <f t="shared" si="36"/>
        <v>0</v>
      </c>
      <c r="AB72" s="517">
        <f t="shared" si="36"/>
        <v>0</v>
      </c>
      <c r="AC72" s="517">
        <f t="shared" si="36"/>
        <v>0</v>
      </c>
      <c r="AD72" s="517">
        <f t="shared" si="36"/>
        <v>0</v>
      </c>
      <c r="AE72" s="517">
        <f t="shared" si="36"/>
        <v>0</v>
      </c>
      <c r="AF72" s="517">
        <f t="shared" si="36"/>
        <v>0</v>
      </c>
      <c r="AG72" s="517">
        <f t="shared" si="36"/>
        <v>0</v>
      </c>
      <c r="AH72" s="517">
        <f t="shared" si="36"/>
        <v>0</v>
      </c>
      <c r="AI72" s="517">
        <f t="shared" si="36"/>
        <v>0</v>
      </c>
      <c r="AJ72" s="517">
        <f t="shared" si="36"/>
        <v>0</v>
      </c>
      <c r="AK72" s="517">
        <f t="shared" si="36"/>
        <v>0</v>
      </c>
      <c r="AL72" s="517">
        <f t="shared" si="36"/>
        <v>0</v>
      </c>
      <c r="AM72" s="517">
        <f t="shared" si="36"/>
        <v>0</v>
      </c>
      <c r="AN72" s="517">
        <f t="shared" si="36"/>
        <v>0</v>
      </c>
      <c r="AO72" s="517">
        <f t="shared" si="36"/>
        <v>0</v>
      </c>
      <c r="AP72" s="517">
        <f t="shared" si="36"/>
        <v>0</v>
      </c>
      <c r="AQ72" s="517">
        <f t="shared" si="36"/>
        <v>0</v>
      </c>
      <c r="AR72" s="517">
        <f t="shared" si="36"/>
        <v>0</v>
      </c>
      <c r="AS72" s="517">
        <f t="shared" si="36"/>
        <v>0</v>
      </c>
      <c r="AT72" s="517">
        <f t="shared" si="36"/>
        <v>0</v>
      </c>
      <c r="AU72" s="517">
        <f t="shared" si="36"/>
        <v>0</v>
      </c>
      <c r="AV72" s="517">
        <f t="shared" si="36"/>
        <v>0</v>
      </c>
      <c r="AW72" s="517">
        <f t="shared" si="36"/>
        <v>0</v>
      </c>
      <c r="AX72" s="517">
        <f t="shared" si="36"/>
        <v>0</v>
      </c>
      <c r="AY72" s="517">
        <f t="shared" si="36"/>
        <v>0</v>
      </c>
      <c r="AZ72" s="517">
        <f t="shared" si="36"/>
        <v>0</v>
      </c>
      <c r="BA72" s="517">
        <f t="shared" si="36"/>
        <v>0</v>
      </c>
      <c r="BB72" s="517">
        <f t="shared" si="36"/>
        <v>0</v>
      </c>
      <c r="BC72" s="517">
        <f t="shared" si="36"/>
        <v>0</v>
      </c>
      <c r="BD72" s="517">
        <f t="shared" si="36"/>
        <v>0</v>
      </c>
      <c r="BE72" s="534">
        <f>SUM(טבלה35[[#This Row],[1]:[50]])</f>
        <v>0</v>
      </c>
      <c r="BF72" s="534"/>
      <c r="BG72" s="581" t="str">
        <f>טבלה35[[#This Row],[פרודוקטים]]</f>
        <v>נייר סופג</v>
      </c>
    </row>
    <row r="73" spans="1:64">
      <c r="D73" s="772"/>
      <c r="E73" s="772"/>
    </row>
    <row r="74" spans="1:64">
      <c r="D74" s="772"/>
      <c r="E74" s="772"/>
    </row>
    <row r="75" spans="1:64">
      <c r="D75" s="772"/>
      <c r="E75" s="772"/>
    </row>
    <row r="76" spans="1:64">
      <c r="D76" s="772"/>
      <c r="E76" s="772"/>
    </row>
    <row r="77" spans="1:64">
      <c r="D77" s="772"/>
      <c r="E77" s="772"/>
    </row>
    <row r="78" spans="1:64">
      <c r="D78" s="772"/>
      <c r="E78" s="772"/>
    </row>
    <row r="79" spans="1:64">
      <c r="D79" s="772"/>
      <c r="E79" s="772"/>
    </row>
    <row r="80" spans="1:64">
      <c r="D80" s="772"/>
      <c r="E80" s="772"/>
    </row>
    <row r="81" spans="4:65">
      <c r="D81" s="772"/>
      <c r="E81" s="772"/>
    </row>
    <row r="82" spans="4:65">
      <c r="D82" s="772"/>
      <c r="E82" s="772"/>
    </row>
    <row r="83" spans="4:65" s="518" customFormat="1">
      <c r="D83" s="772"/>
      <c r="E83" s="772"/>
      <c r="F83" s="522"/>
      <c r="G83" s="517"/>
      <c r="H83" s="519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540"/>
      <c r="BF83" s="540"/>
      <c r="BG83" s="533"/>
      <c r="BH83" s="531"/>
      <c r="BI83" s="532"/>
      <c r="BJ83" s="533"/>
      <c r="BK83" s="533"/>
      <c r="BL83" s="533"/>
      <c r="BM83" s="533"/>
    </row>
    <row r="84" spans="4:65" s="518" customFormat="1">
      <c r="D84" s="772"/>
      <c r="E84" s="772"/>
      <c r="F84" s="522"/>
      <c r="G84" s="517"/>
      <c r="H84" s="519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540"/>
      <c r="BF84" s="540"/>
      <c r="BG84" s="533"/>
      <c r="BH84" s="531"/>
      <c r="BI84" s="532"/>
      <c r="BJ84" s="533"/>
      <c r="BK84" s="533"/>
      <c r="BL84" s="533"/>
      <c r="BM84" s="533"/>
    </row>
    <row r="85" spans="4:65" s="518" customFormat="1">
      <c r="D85" s="772"/>
      <c r="E85" s="772"/>
      <c r="F85" s="522"/>
      <c r="G85" s="517"/>
      <c r="H85" s="519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540"/>
      <c r="BF85" s="540"/>
      <c r="BG85" s="533"/>
      <c r="BH85" s="531"/>
      <c r="BI85" s="532"/>
      <c r="BJ85" s="533"/>
      <c r="BK85" s="533"/>
      <c r="BL85" s="533"/>
      <c r="BM85" s="533"/>
    </row>
    <row r="86" spans="4:65" s="518" customFormat="1">
      <c r="D86" s="772"/>
      <c r="E86" s="772"/>
      <c r="F86" s="522"/>
      <c r="G86" s="517"/>
      <c r="H86" s="519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540"/>
      <c r="BF86" s="540"/>
      <c r="BG86" s="533"/>
      <c r="BH86" s="531"/>
      <c r="BI86" s="532"/>
      <c r="BJ86" s="533"/>
      <c r="BK86" s="533"/>
      <c r="BL86" s="533"/>
      <c r="BM86" s="533"/>
    </row>
    <row r="87" spans="4:65" s="518" customFormat="1">
      <c r="D87" s="772"/>
      <c r="E87" s="772"/>
      <c r="F87" s="522"/>
      <c r="G87" s="517"/>
      <c r="H87" s="519"/>
      <c r="I87" s="533"/>
      <c r="J87" s="533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540"/>
      <c r="BF87" s="540"/>
      <c r="BG87" s="533"/>
      <c r="BH87" s="531"/>
      <c r="BI87" s="532"/>
      <c r="BJ87" s="533"/>
      <c r="BK87" s="533"/>
      <c r="BL87" s="533"/>
      <c r="BM87" s="533"/>
    </row>
    <row r="88" spans="4:65" s="518" customFormat="1">
      <c r="D88" s="772"/>
      <c r="E88" s="772"/>
      <c r="F88" s="522"/>
      <c r="G88" s="517"/>
      <c r="H88" s="519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540"/>
      <c r="BF88" s="540"/>
      <c r="BG88" s="533"/>
      <c r="BH88" s="531"/>
      <c r="BI88" s="532"/>
      <c r="BJ88" s="533"/>
      <c r="BK88" s="533"/>
      <c r="BL88" s="533"/>
      <c r="BM88" s="533"/>
    </row>
    <row r="89" spans="4:65" s="518" customFormat="1">
      <c r="D89" s="772"/>
      <c r="E89" s="772"/>
      <c r="F89" s="522"/>
      <c r="G89" s="517"/>
      <c r="H89" s="519"/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33"/>
      <c r="V89" s="533"/>
      <c r="W89" s="533"/>
      <c r="X89" s="533"/>
      <c r="Y89" s="533"/>
      <c r="Z89" s="533"/>
      <c r="AA89" s="533"/>
      <c r="AB89" s="533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540"/>
      <c r="BF89" s="540"/>
      <c r="BG89" s="533"/>
      <c r="BH89" s="531"/>
      <c r="BI89" s="532"/>
      <c r="BJ89" s="533"/>
      <c r="BK89" s="533"/>
      <c r="BL89" s="533"/>
      <c r="BM89" s="533"/>
    </row>
    <row r="90" spans="4:65" s="518" customFormat="1">
      <c r="D90" s="772"/>
      <c r="E90" s="772"/>
      <c r="F90" s="522"/>
      <c r="G90" s="517"/>
      <c r="H90" s="519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3"/>
      <c r="AJ90" s="533"/>
      <c r="AK90" s="533"/>
      <c r="AL90" s="533"/>
      <c r="AM90" s="533"/>
      <c r="AN90" s="533"/>
      <c r="AO90" s="533"/>
      <c r="AP90" s="533"/>
      <c r="AQ90" s="533"/>
      <c r="AR90" s="533"/>
      <c r="AS90" s="533"/>
      <c r="AT90" s="533"/>
      <c r="AU90" s="533"/>
      <c r="AV90" s="533"/>
      <c r="AW90" s="533"/>
      <c r="AX90" s="533"/>
      <c r="AY90" s="533"/>
      <c r="AZ90" s="533"/>
      <c r="BA90" s="533"/>
      <c r="BB90" s="533"/>
      <c r="BC90" s="533"/>
      <c r="BD90" s="533"/>
      <c r="BE90" s="540"/>
      <c r="BF90" s="540"/>
      <c r="BG90" s="533"/>
      <c r="BH90" s="531"/>
      <c r="BI90" s="532"/>
      <c r="BJ90" s="533"/>
      <c r="BK90" s="533"/>
      <c r="BL90" s="533"/>
      <c r="BM90" s="533"/>
    </row>
    <row r="91" spans="4:65" s="518" customFormat="1">
      <c r="D91" s="772"/>
      <c r="E91" s="772"/>
      <c r="F91" s="522"/>
      <c r="G91" s="517"/>
      <c r="H91" s="519"/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533"/>
      <c r="AC91" s="533"/>
      <c r="AD91" s="533"/>
      <c r="AE91" s="533"/>
      <c r="AF91" s="533"/>
      <c r="AG91" s="533"/>
      <c r="AH91" s="533"/>
      <c r="AI91" s="533"/>
      <c r="AJ91" s="533"/>
      <c r="AK91" s="533"/>
      <c r="AL91" s="533"/>
      <c r="AM91" s="533"/>
      <c r="AN91" s="533"/>
      <c r="AO91" s="533"/>
      <c r="AP91" s="533"/>
      <c r="AQ91" s="533"/>
      <c r="AR91" s="533"/>
      <c r="AS91" s="533"/>
      <c r="AT91" s="533"/>
      <c r="AU91" s="533"/>
      <c r="AV91" s="533"/>
      <c r="AW91" s="533"/>
      <c r="AX91" s="533"/>
      <c r="AY91" s="533"/>
      <c r="AZ91" s="533"/>
      <c r="BA91" s="533"/>
      <c r="BB91" s="533"/>
      <c r="BC91" s="533"/>
      <c r="BD91" s="533"/>
      <c r="BE91" s="540"/>
      <c r="BF91" s="540"/>
      <c r="BG91" s="533"/>
      <c r="BH91" s="531"/>
      <c r="BI91" s="532"/>
      <c r="BJ91" s="533"/>
      <c r="BK91" s="533"/>
      <c r="BL91" s="533"/>
      <c r="BM91" s="533"/>
    </row>
    <row r="92" spans="4:65" s="518" customFormat="1">
      <c r="D92" s="772"/>
      <c r="E92" s="772"/>
      <c r="F92" s="522"/>
      <c r="G92" s="517"/>
      <c r="H92" s="519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540"/>
      <c r="BF92" s="540"/>
      <c r="BG92" s="533"/>
      <c r="BH92" s="531"/>
      <c r="BI92" s="532"/>
      <c r="BJ92" s="533"/>
      <c r="BK92" s="533"/>
      <c r="BL92" s="533"/>
      <c r="BM92" s="533"/>
    </row>
    <row r="93" spans="4:65" s="518" customFormat="1">
      <c r="D93" s="772"/>
      <c r="E93" s="772"/>
      <c r="F93" s="522"/>
      <c r="G93" s="517"/>
      <c r="H93" s="519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540"/>
      <c r="BF93" s="540"/>
      <c r="BG93" s="533"/>
      <c r="BH93" s="531"/>
      <c r="BI93" s="532"/>
      <c r="BJ93" s="533"/>
      <c r="BK93" s="533"/>
      <c r="BL93" s="533"/>
      <c r="BM93" s="533"/>
    </row>
    <row r="94" spans="4:65" s="518" customFormat="1">
      <c r="D94" s="772"/>
      <c r="E94" s="772"/>
      <c r="F94" s="522"/>
      <c r="G94" s="517"/>
      <c r="H94" s="519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40"/>
      <c r="BF94" s="540"/>
      <c r="BG94" s="533"/>
      <c r="BH94" s="531"/>
      <c r="BI94" s="532"/>
      <c r="BJ94" s="533"/>
      <c r="BK94" s="533"/>
      <c r="BL94" s="533"/>
      <c r="BM94" s="533"/>
    </row>
    <row r="95" spans="4:65" s="518" customFormat="1">
      <c r="D95" s="772"/>
      <c r="E95" s="772"/>
      <c r="F95" s="522"/>
      <c r="G95" s="517"/>
      <c r="H95" s="519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3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540"/>
      <c r="BF95" s="540"/>
      <c r="BG95" s="533"/>
      <c r="BH95" s="531"/>
      <c r="BI95" s="532"/>
      <c r="BJ95" s="533"/>
      <c r="BK95" s="533"/>
      <c r="BL95" s="533"/>
      <c r="BM95" s="533"/>
    </row>
    <row r="96" spans="4:65" s="518" customFormat="1">
      <c r="D96" s="772"/>
      <c r="E96" s="772"/>
      <c r="F96" s="522"/>
      <c r="G96" s="517"/>
      <c r="H96" s="519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540"/>
      <c r="BF96" s="540"/>
      <c r="BG96" s="533"/>
      <c r="BH96" s="531"/>
      <c r="BI96" s="532"/>
      <c r="BJ96" s="533"/>
      <c r="BK96" s="533"/>
      <c r="BL96" s="533"/>
      <c r="BM96" s="533"/>
    </row>
    <row r="97" spans="4:65" s="518" customFormat="1">
      <c r="D97" s="772"/>
      <c r="E97" s="772"/>
      <c r="F97" s="522"/>
      <c r="G97" s="517"/>
      <c r="H97" s="519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40"/>
      <c r="BF97" s="540"/>
      <c r="BG97" s="533"/>
      <c r="BH97" s="531"/>
      <c r="BI97" s="532"/>
      <c r="BJ97" s="533"/>
      <c r="BK97" s="533"/>
      <c r="BL97" s="533"/>
      <c r="BM97" s="533"/>
    </row>
    <row r="98" spans="4:65" s="518" customFormat="1">
      <c r="D98" s="772"/>
      <c r="E98" s="772"/>
      <c r="F98" s="522"/>
      <c r="G98" s="517"/>
      <c r="H98" s="519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540"/>
      <c r="BF98" s="540"/>
      <c r="BG98" s="533"/>
      <c r="BH98" s="531"/>
      <c r="BI98" s="532"/>
      <c r="BJ98" s="533"/>
      <c r="BK98" s="533"/>
      <c r="BL98" s="533"/>
      <c r="BM98" s="533"/>
    </row>
    <row r="99" spans="4:65" s="518" customFormat="1">
      <c r="D99" s="772"/>
      <c r="E99" s="772"/>
      <c r="F99" s="522"/>
      <c r="G99" s="517"/>
      <c r="H99" s="519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40"/>
      <c r="BF99" s="540"/>
      <c r="BG99" s="533"/>
      <c r="BH99" s="531"/>
      <c r="BI99" s="532"/>
      <c r="BJ99" s="533"/>
      <c r="BK99" s="533"/>
      <c r="BL99" s="533"/>
      <c r="BM99" s="533"/>
    </row>
    <row r="100" spans="4:65" s="518" customFormat="1">
      <c r="D100" s="772"/>
      <c r="E100" s="772"/>
      <c r="F100" s="522"/>
      <c r="G100" s="517"/>
      <c r="H100" s="519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540"/>
      <c r="BF100" s="540"/>
      <c r="BG100" s="533"/>
      <c r="BH100" s="531"/>
      <c r="BI100" s="532"/>
      <c r="BJ100" s="533"/>
      <c r="BK100" s="533"/>
      <c r="BL100" s="533"/>
      <c r="BM100" s="533"/>
    </row>
    <row r="101" spans="4:65" s="518" customFormat="1">
      <c r="D101" s="772"/>
      <c r="E101" s="772"/>
      <c r="F101" s="522"/>
      <c r="G101" s="517"/>
      <c r="H101" s="519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40"/>
      <c r="BF101" s="540"/>
      <c r="BG101" s="533"/>
      <c r="BH101" s="531"/>
      <c r="BI101" s="532"/>
      <c r="BJ101" s="533"/>
      <c r="BK101" s="533"/>
      <c r="BL101" s="533"/>
      <c r="BM101" s="533"/>
    </row>
    <row r="102" spans="4:65" s="518" customFormat="1">
      <c r="D102" s="772"/>
      <c r="E102" s="772"/>
      <c r="F102" s="522"/>
      <c r="G102" s="517"/>
      <c r="H102" s="519"/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540"/>
      <c r="BF102" s="540"/>
      <c r="BG102" s="533"/>
      <c r="BH102" s="531"/>
      <c r="BI102" s="532"/>
      <c r="BJ102" s="533"/>
      <c r="BK102" s="533"/>
      <c r="BL102" s="533"/>
      <c r="BM102" s="533"/>
    </row>
    <row r="103" spans="4:65" s="518" customFormat="1">
      <c r="D103" s="772"/>
      <c r="E103" s="772"/>
      <c r="F103" s="522"/>
      <c r="G103" s="517"/>
      <c r="H103" s="519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540"/>
      <c r="BF103" s="540"/>
      <c r="BG103" s="533"/>
      <c r="BH103" s="531"/>
      <c r="BI103" s="532"/>
      <c r="BJ103" s="533"/>
      <c r="BK103" s="533"/>
      <c r="BL103" s="533"/>
      <c r="BM103" s="533"/>
    </row>
    <row r="104" spans="4:65" s="518" customFormat="1">
      <c r="D104" s="772"/>
      <c r="E104" s="772"/>
      <c r="F104" s="522"/>
      <c r="G104" s="517"/>
      <c r="H104" s="519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540"/>
      <c r="BF104" s="540"/>
      <c r="BG104" s="533"/>
      <c r="BH104" s="531"/>
      <c r="BI104" s="532"/>
      <c r="BJ104" s="533"/>
      <c r="BK104" s="533"/>
      <c r="BL104" s="533"/>
      <c r="BM104" s="533"/>
    </row>
    <row r="105" spans="4:65" s="518" customFormat="1">
      <c r="D105" s="772"/>
      <c r="E105" s="772"/>
      <c r="F105" s="522"/>
      <c r="G105" s="517"/>
      <c r="H105" s="519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540"/>
      <c r="BF105" s="540"/>
      <c r="BG105" s="533"/>
      <c r="BH105" s="531"/>
      <c r="BI105" s="532"/>
      <c r="BJ105" s="533"/>
      <c r="BK105" s="533"/>
      <c r="BL105" s="533"/>
      <c r="BM105" s="533"/>
    </row>
    <row r="106" spans="4:65" s="518" customFormat="1">
      <c r="D106" s="772"/>
      <c r="E106" s="772"/>
      <c r="F106" s="522"/>
      <c r="G106" s="517"/>
      <c r="H106" s="519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540"/>
      <c r="BF106" s="540"/>
      <c r="BG106" s="533"/>
      <c r="BH106" s="531"/>
      <c r="BI106" s="532"/>
      <c r="BJ106" s="533"/>
      <c r="BK106" s="533"/>
      <c r="BL106" s="533"/>
      <c r="BM106" s="533"/>
    </row>
    <row r="107" spans="4:65" s="518" customFormat="1">
      <c r="D107" s="772"/>
      <c r="E107" s="772"/>
      <c r="F107" s="522"/>
      <c r="G107" s="517"/>
      <c r="H107" s="519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  <c r="AN107" s="533"/>
      <c r="AO107" s="533"/>
      <c r="AP107" s="533"/>
      <c r="AQ107" s="533"/>
      <c r="AR107" s="533"/>
      <c r="AS107" s="533"/>
      <c r="AT107" s="533"/>
      <c r="AU107" s="533"/>
      <c r="AV107" s="533"/>
      <c r="AW107" s="533"/>
      <c r="AX107" s="533"/>
      <c r="AY107" s="533"/>
      <c r="AZ107" s="533"/>
      <c r="BA107" s="533"/>
      <c r="BB107" s="533"/>
      <c r="BC107" s="533"/>
      <c r="BD107" s="533"/>
      <c r="BE107" s="540"/>
      <c r="BF107" s="540"/>
      <c r="BG107" s="533"/>
      <c r="BH107" s="531"/>
      <c r="BI107" s="532"/>
      <c r="BJ107" s="533"/>
      <c r="BK107" s="533"/>
      <c r="BL107" s="533"/>
      <c r="BM107" s="533"/>
    </row>
    <row r="108" spans="4:65" s="518" customFormat="1">
      <c r="D108" s="772"/>
      <c r="E108" s="772"/>
      <c r="F108" s="522"/>
      <c r="G108" s="517"/>
      <c r="H108" s="519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533"/>
      <c r="BC108" s="533"/>
      <c r="BD108" s="533"/>
      <c r="BE108" s="540"/>
      <c r="BF108" s="540"/>
      <c r="BG108" s="533"/>
      <c r="BH108" s="531"/>
      <c r="BI108" s="532"/>
      <c r="BJ108" s="533"/>
      <c r="BK108" s="533"/>
      <c r="BL108" s="533"/>
      <c r="BM108" s="533"/>
    </row>
    <row r="109" spans="4:65" s="518" customFormat="1">
      <c r="D109" s="772"/>
      <c r="E109" s="772"/>
      <c r="F109" s="522"/>
      <c r="G109" s="517"/>
      <c r="H109" s="519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533"/>
      <c r="AS109" s="533"/>
      <c r="AT109" s="533"/>
      <c r="AU109" s="533"/>
      <c r="AV109" s="533"/>
      <c r="AW109" s="533"/>
      <c r="AX109" s="533"/>
      <c r="AY109" s="533"/>
      <c r="AZ109" s="533"/>
      <c r="BA109" s="533"/>
      <c r="BB109" s="533"/>
      <c r="BC109" s="533"/>
      <c r="BD109" s="533"/>
      <c r="BE109" s="540"/>
      <c r="BF109" s="540"/>
      <c r="BG109" s="533"/>
      <c r="BH109" s="531"/>
      <c r="BI109" s="532"/>
      <c r="BJ109" s="533"/>
      <c r="BK109" s="533"/>
      <c r="BL109" s="533"/>
      <c r="BM109" s="533"/>
    </row>
    <row r="110" spans="4:65" s="518" customFormat="1">
      <c r="D110" s="772"/>
      <c r="E110" s="772"/>
      <c r="F110" s="522"/>
      <c r="G110" s="517"/>
      <c r="H110" s="519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533"/>
      <c r="AL110" s="533"/>
      <c r="AM110" s="533"/>
      <c r="AN110" s="533"/>
      <c r="AO110" s="533"/>
      <c r="AP110" s="533"/>
      <c r="AQ110" s="533"/>
      <c r="AR110" s="533"/>
      <c r="AS110" s="533"/>
      <c r="AT110" s="533"/>
      <c r="AU110" s="533"/>
      <c r="AV110" s="533"/>
      <c r="AW110" s="533"/>
      <c r="AX110" s="533"/>
      <c r="AY110" s="533"/>
      <c r="AZ110" s="533"/>
      <c r="BA110" s="533"/>
      <c r="BB110" s="533"/>
      <c r="BC110" s="533"/>
      <c r="BD110" s="533"/>
      <c r="BE110" s="540"/>
      <c r="BF110" s="540"/>
      <c r="BG110" s="533"/>
      <c r="BH110" s="531"/>
      <c r="BI110" s="532"/>
      <c r="BJ110" s="533"/>
      <c r="BK110" s="533"/>
      <c r="BL110" s="533"/>
      <c r="BM110" s="533"/>
    </row>
    <row r="111" spans="4:65" s="518" customFormat="1">
      <c r="D111" s="772"/>
      <c r="E111" s="772"/>
      <c r="F111" s="522"/>
      <c r="G111" s="517"/>
      <c r="H111" s="519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533"/>
      <c r="AL111" s="533"/>
      <c r="AM111" s="533"/>
      <c r="AN111" s="533"/>
      <c r="AO111" s="533"/>
      <c r="AP111" s="533"/>
      <c r="AQ111" s="533"/>
      <c r="AR111" s="533"/>
      <c r="AS111" s="533"/>
      <c r="AT111" s="533"/>
      <c r="AU111" s="533"/>
      <c r="AV111" s="533"/>
      <c r="AW111" s="533"/>
      <c r="AX111" s="533"/>
      <c r="AY111" s="533"/>
      <c r="AZ111" s="533"/>
      <c r="BA111" s="533"/>
      <c r="BB111" s="533"/>
      <c r="BC111" s="533"/>
      <c r="BD111" s="533"/>
      <c r="BE111" s="540"/>
      <c r="BF111" s="540"/>
      <c r="BG111" s="533"/>
      <c r="BH111" s="531"/>
      <c r="BI111" s="532"/>
      <c r="BJ111" s="533"/>
      <c r="BK111" s="533"/>
      <c r="BL111" s="533"/>
      <c r="BM111" s="533"/>
    </row>
    <row r="112" spans="4:65" s="518" customFormat="1">
      <c r="D112" s="772"/>
      <c r="E112" s="772"/>
      <c r="F112" s="522"/>
      <c r="G112" s="517"/>
      <c r="H112" s="519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533"/>
      <c r="AM112" s="533"/>
      <c r="AN112" s="533"/>
      <c r="AO112" s="533"/>
      <c r="AP112" s="533"/>
      <c r="AQ112" s="533"/>
      <c r="AR112" s="533"/>
      <c r="AS112" s="533"/>
      <c r="AT112" s="533"/>
      <c r="AU112" s="533"/>
      <c r="AV112" s="533"/>
      <c r="AW112" s="533"/>
      <c r="AX112" s="533"/>
      <c r="AY112" s="533"/>
      <c r="AZ112" s="533"/>
      <c r="BA112" s="533"/>
      <c r="BB112" s="533"/>
      <c r="BC112" s="533"/>
      <c r="BD112" s="533"/>
      <c r="BE112" s="540"/>
      <c r="BF112" s="540"/>
      <c r="BG112" s="533"/>
      <c r="BH112" s="531"/>
      <c r="BI112" s="532"/>
      <c r="BJ112" s="533"/>
      <c r="BK112" s="533"/>
      <c r="BL112" s="533"/>
      <c r="BM112" s="533"/>
    </row>
    <row r="113" spans="4:65" s="518" customFormat="1">
      <c r="D113" s="772"/>
      <c r="E113" s="772"/>
      <c r="F113" s="522"/>
      <c r="G113" s="517"/>
      <c r="H113" s="519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533"/>
      <c r="AS113" s="533"/>
      <c r="AT113" s="533"/>
      <c r="AU113" s="533"/>
      <c r="AV113" s="533"/>
      <c r="AW113" s="533"/>
      <c r="AX113" s="533"/>
      <c r="AY113" s="533"/>
      <c r="AZ113" s="533"/>
      <c r="BA113" s="533"/>
      <c r="BB113" s="533"/>
      <c r="BC113" s="533"/>
      <c r="BD113" s="533"/>
      <c r="BE113" s="540"/>
      <c r="BF113" s="540"/>
      <c r="BG113" s="533"/>
      <c r="BH113" s="531"/>
      <c r="BI113" s="532"/>
      <c r="BJ113" s="533"/>
      <c r="BK113" s="533"/>
      <c r="BL113" s="533"/>
      <c r="BM113" s="533"/>
    </row>
    <row r="114" spans="4:65" s="518" customFormat="1">
      <c r="D114" s="772"/>
      <c r="E114" s="772"/>
      <c r="F114" s="522"/>
      <c r="G114" s="517"/>
      <c r="H114" s="519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533"/>
      <c r="AS114" s="533"/>
      <c r="AT114" s="533"/>
      <c r="AU114" s="533"/>
      <c r="AV114" s="533"/>
      <c r="AW114" s="533"/>
      <c r="AX114" s="533"/>
      <c r="AY114" s="533"/>
      <c r="AZ114" s="533"/>
      <c r="BA114" s="533"/>
      <c r="BB114" s="533"/>
      <c r="BC114" s="533"/>
      <c r="BD114" s="533"/>
      <c r="BE114" s="540"/>
      <c r="BF114" s="540"/>
      <c r="BG114" s="533"/>
      <c r="BH114" s="531"/>
      <c r="BI114" s="532"/>
      <c r="BJ114" s="533"/>
      <c r="BK114" s="533"/>
      <c r="BL114" s="533"/>
      <c r="BM114" s="533"/>
    </row>
    <row r="115" spans="4:65" s="518" customFormat="1">
      <c r="D115" s="772"/>
      <c r="E115" s="772"/>
      <c r="F115" s="522"/>
      <c r="G115" s="517"/>
      <c r="H115" s="519"/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  <c r="AL115" s="533"/>
      <c r="AM115" s="533"/>
      <c r="AN115" s="533"/>
      <c r="AO115" s="533"/>
      <c r="AP115" s="533"/>
      <c r="AQ115" s="533"/>
      <c r="AR115" s="533"/>
      <c r="AS115" s="533"/>
      <c r="AT115" s="533"/>
      <c r="AU115" s="533"/>
      <c r="AV115" s="533"/>
      <c r="AW115" s="533"/>
      <c r="AX115" s="533"/>
      <c r="AY115" s="533"/>
      <c r="AZ115" s="533"/>
      <c r="BA115" s="533"/>
      <c r="BB115" s="533"/>
      <c r="BC115" s="533"/>
      <c r="BD115" s="533"/>
      <c r="BE115" s="540"/>
      <c r="BF115" s="540"/>
      <c r="BG115" s="533"/>
      <c r="BH115" s="531"/>
      <c r="BI115" s="532"/>
      <c r="BJ115" s="533"/>
      <c r="BK115" s="533"/>
      <c r="BL115" s="533"/>
      <c r="BM115" s="533"/>
    </row>
    <row r="116" spans="4:65" s="518" customFormat="1">
      <c r="D116" s="772"/>
      <c r="E116" s="772"/>
      <c r="F116" s="522"/>
      <c r="G116" s="517"/>
      <c r="H116" s="519"/>
      <c r="I116" s="533"/>
      <c r="J116" s="533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33"/>
      <c r="V116" s="533"/>
      <c r="W116" s="533"/>
      <c r="X116" s="533"/>
      <c r="Y116" s="533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3"/>
      <c r="AJ116" s="533"/>
      <c r="AK116" s="533"/>
      <c r="AL116" s="533"/>
      <c r="AM116" s="533"/>
      <c r="AN116" s="533"/>
      <c r="AO116" s="533"/>
      <c r="AP116" s="533"/>
      <c r="AQ116" s="533"/>
      <c r="AR116" s="533"/>
      <c r="AS116" s="533"/>
      <c r="AT116" s="533"/>
      <c r="AU116" s="533"/>
      <c r="AV116" s="533"/>
      <c r="AW116" s="533"/>
      <c r="AX116" s="533"/>
      <c r="AY116" s="533"/>
      <c r="AZ116" s="533"/>
      <c r="BA116" s="533"/>
      <c r="BB116" s="533"/>
      <c r="BC116" s="533"/>
      <c r="BD116" s="533"/>
      <c r="BE116" s="540"/>
      <c r="BF116" s="540"/>
      <c r="BG116" s="533"/>
      <c r="BH116" s="531"/>
      <c r="BI116" s="532"/>
      <c r="BJ116" s="533"/>
      <c r="BK116" s="533"/>
      <c r="BL116" s="533"/>
      <c r="BM116" s="533"/>
    </row>
    <row r="117" spans="4:65" s="518" customFormat="1">
      <c r="D117" s="772"/>
      <c r="E117" s="772"/>
      <c r="F117" s="522"/>
      <c r="G117" s="517"/>
      <c r="H117" s="519"/>
      <c r="I117" s="533"/>
      <c r="J117" s="533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33"/>
      <c r="V117" s="533"/>
      <c r="W117" s="533"/>
      <c r="X117" s="533"/>
      <c r="Y117" s="533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3"/>
      <c r="AJ117" s="533"/>
      <c r="AK117" s="533"/>
      <c r="AL117" s="533"/>
      <c r="AM117" s="533"/>
      <c r="AN117" s="533"/>
      <c r="AO117" s="533"/>
      <c r="AP117" s="533"/>
      <c r="AQ117" s="533"/>
      <c r="AR117" s="533"/>
      <c r="AS117" s="533"/>
      <c r="AT117" s="533"/>
      <c r="AU117" s="533"/>
      <c r="AV117" s="533"/>
      <c r="AW117" s="533"/>
      <c r="AX117" s="533"/>
      <c r="AY117" s="533"/>
      <c r="AZ117" s="533"/>
      <c r="BA117" s="533"/>
      <c r="BB117" s="533"/>
      <c r="BC117" s="533"/>
      <c r="BD117" s="533"/>
      <c r="BE117" s="540"/>
      <c r="BF117" s="540"/>
      <c r="BG117" s="533"/>
      <c r="BH117" s="531"/>
      <c r="BI117" s="532"/>
      <c r="BJ117" s="533"/>
      <c r="BK117" s="533"/>
      <c r="BL117" s="533"/>
      <c r="BM117" s="533"/>
    </row>
    <row r="118" spans="4:65" s="518" customFormat="1">
      <c r="D118" s="772"/>
      <c r="E118" s="772"/>
      <c r="F118" s="522"/>
      <c r="G118" s="517"/>
      <c r="H118" s="519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3"/>
      <c r="AR118" s="533"/>
      <c r="AS118" s="533"/>
      <c r="AT118" s="533"/>
      <c r="AU118" s="533"/>
      <c r="AV118" s="533"/>
      <c r="AW118" s="533"/>
      <c r="AX118" s="533"/>
      <c r="AY118" s="533"/>
      <c r="AZ118" s="533"/>
      <c r="BA118" s="533"/>
      <c r="BB118" s="533"/>
      <c r="BC118" s="533"/>
      <c r="BD118" s="533"/>
      <c r="BE118" s="540"/>
      <c r="BF118" s="540"/>
      <c r="BG118" s="533"/>
      <c r="BH118" s="531"/>
      <c r="BI118" s="532"/>
      <c r="BJ118" s="533"/>
      <c r="BK118" s="533"/>
      <c r="BL118" s="533"/>
      <c r="BM118" s="533"/>
    </row>
    <row r="119" spans="4:65" s="518" customFormat="1">
      <c r="D119" s="772"/>
      <c r="E119" s="772"/>
      <c r="F119" s="522"/>
      <c r="G119" s="517"/>
      <c r="H119" s="519"/>
      <c r="I119" s="533"/>
      <c r="J119" s="533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  <c r="U119" s="533"/>
      <c r="V119" s="533"/>
      <c r="W119" s="533"/>
      <c r="X119" s="533"/>
      <c r="Y119" s="533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533"/>
      <c r="AS119" s="533"/>
      <c r="AT119" s="533"/>
      <c r="AU119" s="533"/>
      <c r="AV119" s="533"/>
      <c r="AW119" s="533"/>
      <c r="AX119" s="533"/>
      <c r="AY119" s="533"/>
      <c r="AZ119" s="533"/>
      <c r="BA119" s="533"/>
      <c r="BB119" s="533"/>
      <c r="BC119" s="533"/>
      <c r="BD119" s="533"/>
      <c r="BE119" s="540"/>
      <c r="BF119" s="540"/>
      <c r="BG119" s="533"/>
      <c r="BH119" s="531"/>
      <c r="BI119" s="532"/>
      <c r="BJ119" s="533"/>
      <c r="BK119" s="533"/>
      <c r="BL119" s="533"/>
      <c r="BM119" s="533"/>
    </row>
    <row r="120" spans="4:65" s="518" customFormat="1">
      <c r="D120" s="772"/>
      <c r="E120" s="772"/>
      <c r="F120" s="522"/>
      <c r="G120" s="517"/>
      <c r="H120" s="519"/>
      <c r="I120" s="533"/>
      <c r="J120" s="533"/>
      <c r="K120" s="533"/>
      <c r="L120" s="533"/>
      <c r="M120" s="533"/>
      <c r="N120" s="533"/>
      <c r="O120" s="533"/>
      <c r="P120" s="533"/>
      <c r="Q120" s="533"/>
      <c r="R120" s="533"/>
      <c r="S120" s="533"/>
      <c r="T120" s="533"/>
      <c r="U120" s="533"/>
      <c r="V120" s="533"/>
      <c r="W120" s="533"/>
      <c r="X120" s="533"/>
      <c r="Y120" s="533"/>
      <c r="Z120" s="533"/>
      <c r="AA120" s="533"/>
      <c r="AB120" s="533"/>
      <c r="AC120" s="533"/>
      <c r="AD120" s="533"/>
      <c r="AE120" s="533"/>
      <c r="AF120" s="533"/>
      <c r="AG120" s="533"/>
      <c r="AH120" s="533"/>
      <c r="AI120" s="533"/>
      <c r="AJ120" s="533"/>
      <c r="AK120" s="533"/>
      <c r="AL120" s="533"/>
      <c r="AM120" s="533"/>
      <c r="AN120" s="533"/>
      <c r="AO120" s="533"/>
      <c r="AP120" s="533"/>
      <c r="AQ120" s="533"/>
      <c r="AR120" s="533"/>
      <c r="AS120" s="533"/>
      <c r="AT120" s="533"/>
      <c r="AU120" s="533"/>
      <c r="AV120" s="533"/>
      <c r="AW120" s="533"/>
      <c r="AX120" s="533"/>
      <c r="AY120" s="533"/>
      <c r="AZ120" s="533"/>
      <c r="BA120" s="533"/>
      <c r="BB120" s="533"/>
      <c r="BC120" s="533"/>
      <c r="BD120" s="533"/>
      <c r="BE120" s="540"/>
      <c r="BF120" s="540"/>
      <c r="BG120" s="533"/>
      <c r="BH120" s="531"/>
      <c r="BI120" s="532"/>
      <c r="BJ120" s="533"/>
      <c r="BK120" s="533"/>
      <c r="BL120" s="533"/>
      <c r="BM120" s="533"/>
    </row>
    <row r="121" spans="4:65" s="518" customFormat="1">
      <c r="D121" s="772"/>
      <c r="E121" s="772"/>
      <c r="F121" s="522"/>
      <c r="G121" s="517"/>
      <c r="H121" s="519"/>
      <c r="I121" s="533"/>
      <c r="J121" s="533"/>
      <c r="K121" s="533"/>
      <c r="L121" s="533"/>
      <c r="M121" s="533"/>
      <c r="N121" s="533"/>
      <c r="O121" s="533"/>
      <c r="P121" s="533"/>
      <c r="Q121" s="533"/>
      <c r="R121" s="533"/>
      <c r="S121" s="533"/>
      <c r="T121" s="533"/>
      <c r="U121" s="533"/>
      <c r="V121" s="533"/>
      <c r="W121" s="533"/>
      <c r="X121" s="533"/>
      <c r="Y121" s="533"/>
      <c r="Z121" s="533"/>
      <c r="AA121" s="533"/>
      <c r="AB121" s="533"/>
      <c r="AC121" s="533"/>
      <c r="AD121" s="533"/>
      <c r="AE121" s="533"/>
      <c r="AF121" s="533"/>
      <c r="AG121" s="533"/>
      <c r="AH121" s="533"/>
      <c r="AI121" s="533"/>
      <c r="AJ121" s="533"/>
      <c r="AK121" s="533"/>
      <c r="AL121" s="533"/>
      <c r="AM121" s="533"/>
      <c r="AN121" s="533"/>
      <c r="AO121" s="533"/>
      <c r="AP121" s="533"/>
      <c r="AQ121" s="533"/>
      <c r="AR121" s="533"/>
      <c r="AS121" s="533"/>
      <c r="AT121" s="533"/>
      <c r="AU121" s="533"/>
      <c r="AV121" s="533"/>
      <c r="AW121" s="533"/>
      <c r="AX121" s="533"/>
      <c r="AY121" s="533"/>
      <c r="AZ121" s="533"/>
      <c r="BA121" s="533"/>
      <c r="BB121" s="533"/>
      <c r="BC121" s="533"/>
      <c r="BD121" s="533"/>
      <c r="BE121" s="540"/>
      <c r="BF121" s="540"/>
      <c r="BG121" s="533"/>
      <c r="BH121" s="531"/>
      <c r="BI121" s="532"/>
      <c r="BJ121" s="533"/>
      <c r="BK121" s="533"/>
      <c r="BL121" s="533"/>
      <c r="BM121" s="533"/>
    </row>
    <row r="122" spans="4:65" s="518" customFormat="1">
      <c r="D122" s="772"/>
      <c r="E122" s="772"/>
      <c r="F122" s="522"/>
      <c r="G122" s="517"/>
      <c r="H122" s="519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33"/>
      <c r="V122" s="533"/>
      <c r="W122" s="533"/>
      <c r="X122" s="533"/>
      <c r="Y122" s="533"/>
      <c r="Z122" s="533"/>
      <c r="AA122" s="533"/>
      <c r="AB122" s="533"/>
      <c r="AC122" s="533"/>
      <c r="AD122" s="533"/>
      <c r="AE122" s="533"/>
      <c r="AF122" s="533"/>
      <c r="AG122" s="533"/>
      <c r="AH122" s="533"/>
      <c r="AI122" s="533"/>
      <c r="AJ122" s="533"/>
      <c r="AK122" s="533"/>
      <c r="AL122" s="533"/>
      <c r="AM122" s="533"/>
      <c r="AN122" s="533"/>
      <c r="AO122" s="533"/>
      <c r="AP122" s="533"/>
      <c r="AQ122" s="533"/>
      <c r="AR122" s="533"/>
      <c r="AS122" s="533"/>
      <c r="AT122" s="533"/>
      <c r="AU122" s="533"/>
      <c r="AV122" s="533"/>
      <c r="AW122" s="533"/>
      <c r="AX122" s="533"/>
      <c r="AY122" s="533"/>
      <c r="AZ122" s="533"/>
      <c r="BA122" s="533"/>
      <c r="BB122" s="533"/>
      <c r="BC122" s="533"/>
      <c r="BD122" s="533"/>
      <c r="BE122" s="540"/>
      <c r="BF122" s="540"/>
      <c r="BG122" s="533"/>
      <c r="BH122" s="531"/>
      <c r="BI122" s="532"/>
      <c r="BJ122" s="533"/>
      <c r="BK122" s="533"/>
      <c r="BL122" s="533"/>
      <c r="BM122" s="533"/>
    </row>
    <row r="123" spans="4:65" s="518" customFormat="1">
      <c r="D123" s="772"/>
      <c r="E123" s="772"/>
      <c r="F123" s="522"/>
      <c r="G123" s="517"/>
      <c r="H123" s="519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533"/>
      <c r="AM123" s="533"/>
      <c r="AN123" s="533"/>
      <c r="AO123" s="533"/>
      <c r="AP123" s="533"/>
      <c r="AQ123" s="533"/>
      <c r="AR123" s="533"/>
      <c r="AS123" s="533"/>
      <c r="AT123" s="533"/>
      <c r="AU123" s="533"/>
      <c r="AV123" s="533"/>
      <c r="AW123" s="533"/>
      <c r="AX123" s="533"/>
      <c r="AY123" s="533"/>
      <c r="AZ123" s="533"/>
      <c r="BA123" s="533"/>
      <c r="BB123" s="533"/>
      <c r="BC123" s="533"/>
      <c r="BD123" s="533"/>
      <c r="BE123" s="540"/>
      <c r="BF123" s="540"/>
      <c r="BG123" s="533"/>
      <c r="BH123" s="531"/>
      <c r="BI123" s="532"/>
      <c r="BJ123" s="533"/>
      <c r="BK123" s="533"/>
      <c r="BL123" s="533"/>
      <c r="BM123" s="533"/>
    </row>
    <row r="124" spans="4:65" s="518" customFormat="1">
      <c r="D124" s="772"/>
      <c r="E124" s="772"/>
      <c r="F124" s="522"/>
      <c r="G124" s="517"/>
      <c r="H124" s="519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533"/>
      <c r="AT124" s="533"/>
      <c r="AU124" s="533"/>
      <c r="AV124" s="533"/>
      <c r="AW124" s="533"/>
      <c r="AX124" s="533"/>
      <c r="AY124" s="533"/>
      <c r="AZ124" s="533"/>
      <c r="BA124" s="533"/>
      <c r="BB124" s="533"/>
      <c r="BC124" s="533"/>
      <c r="BD124" s="533"/>
      <c r="BE124" s="540"/>
      <c r="BF124" s="540"/>
      <c r="BG124" s="533"/>
      <c r="BH124" s="531"/>
      <c r="BI124" s="532"/>
      <c r="BJ124" s="533"/>
      <c r="BK124" s="533"/>
      <c r="BL124" s="533"/>
      <c r="BM124" s="533"/>
    </row>
    <row r="125" spans="4:65" s="518" customFormat="1">
      <c r="D125" s="772"/>
      <c r="E125" s="772"/>
      <c r="F125" s="522"/>
      <c r="G125" s="517"/>
      <c r="H125" s="519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533"/>
      <c r="AT125" s="533"/>
      <c r="AU125" s="533"/>
      <c r="AV125" s="533"/>
      <c r="AW125" s="533"/>
      <c r="AX125" s="533"/>
      <c r="AY125" s="533"/>
      <c r="AZ125" s="533"/>
      <c r="BA125" s="533"/>
      <c r="BB125" s="533"/>
      <c r="BC125" s="533"/>
      <c r="BD125" s="533"/>
      <c r="BE125" s="540"/>
      <c r="BF125" s="540"/>
      <c r="BG125" s="533"/>
      <c r="BH125" s="531"/>
      <c r="BI125" s="532"/>
      <c r="BJ125" s="533"/>
      <c r="BK125" s="533"/>
      <c r="BL125" s="533"/>
      <c r="BM125" s="533"/>
    </row>
    <row r="126" spans="4:65" s="518" customFormat="1">
      <c r="D126" s="772"/>
      <c r="E126" s="772"/>
      <c r="F126" s="522"/>
      <c r="G126" s="517"/>
      <c r="H126" s="519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533"/>
      <c r="AT126" s="533"/>
      <c r="AU126" s="533"/>
      <c r="AV126" s="533"/>
      <c r="AW126" s="533"/>
      <c r="AX126" s="533"/>
      <c r="AY126" s="533"/>
      <c r="AZ126" s="533"/>
      <c r="BA126" s="533"/>
      <c r="BB126" s="533"/>
      <c r="BC126" s="533"/>
      <c r="BD126" s="533"/>
      <c r="BE126" s="540"/>
      <c r="BF126" s="540"/>
      <c r="BG126" s="533"/>
      <c r="BH126" s="531"/>
      <c r="BI126" s="532"/>
      <c r="BJ126" s="533"/>
      <c r="BK126" s="533"/>
      <c r="BL126" s="533"/>
      <c r="BM126" s="533"/>
    </row>
    <row r="127" spans="4:65" s="518" customFormat="1">
      <c r="D127" s="772"/>
      <c r="E127" s="772"/>
      <c r="F127" s="522"/>
      <c r="G127" s="517"/>
      <c r="H127" s="519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533"/>
      <c r="AT127" s="533"/>
      <c r="AU127" s="533"/>
      <c r="AV127" s="533"/>
      <c r="AW127" s="533"/>
      <c r="AX127" s="533"/>
      <c r="AY127" s="533"/>
      <c r="AZ127" s="533"/>
      <c r="BA127" s="533"/>
      <c r="BB127" s="533"/>
      <c r="BC127" s="533"/>
      <c r="BD127" s="533"/>
      <c r="BE127" s="540"/>
      <c r="BF127" s="540"/>
      <c r="BG127" s="533"/>
      <c r="BH127" s="531"/>
      <c r="BI127" s="532"/>
      <c r="BJ127" s="533"/>
      <c r="BK127" s="533"/>
      <c r="BL127" s="533"/>
      <c r="BM127" s="533"/>
    </row>
    <row r="128" spans="4:65" s="518" customFormat="1">
      <c r="D128" s="772"/>
      <c r="E128" s="772"/>
      <c r="F128" s="522"/>
      <c r="G128" s="517"/>
      <c r="H128" s="519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533"/>
      <c r="AT128" s="533"/>
      <c r="AU128" s="533"/>
      <c r="AV128" s="533"/>
      <c r="AW128" s="533"/>
      <c r="AX128" s="533"/>
      <c r="AY128" s="533"/>
      <c r="AZ128" s="533"/>
      <c r="BA128" s="533"/>
      <c r="BB128" s="533"/>
      <c r="BC128" s="533"/>
      <c r="BD128" s="533"/>
      <c r="BE128" s="540"/>
      <c r="BF128" s="540"/>
      <c r="BG128" s="533"/>
      <c r="BH128" s="531"/>
      <c r="BI128" s="532"/>
      <c r="BJ128" s="533"/>
      <c r="BK128" s="533"/>
      <c r="BL128" s="533"/>
      <c r="BM128" s="533"/>
    </row>
    <row r="129" spans="4:65" s="518" customFormat="1">
      <c r="D129" s="772"/>
      <c r="E129" s="772"/>
      <c r="F129" s="522"/>
      <c r="G129" s="517"/>
      <c r="H129" s="519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533"/>
      <c r="AT129" s="533"/>
      <c r="AU129" s="533"/>
      <c r="AV129" s="533"/>
      <c r="AW129" s="533"/>
      <c r="AX129" s="533"/>
      <c r="AY129" s="533"/>
      <c r="AZ129" s="533"/>
      <c r="BA129" s="533"/>
      <c r="BB129" s="533"/>
      <c r="BC129" s="533"/>
      <c r="BD129" s="533"/>
      <c r="BE129" s="540"/>
      <c r="BF129" s="540"/>
      <c r="BG129" s="533"/>
      <c r="BH129" s="531"/>
      <c r="BI129" s="532"/>
      <c r="BJ129" s="533"/>
      <c r="BK129" s="533"/>
      <c r="BL129" s="533"/>
      <c r="BM129" s="533"/>
    </row>
    <row r="130" spans="4:65" s="518" customFormat="1">
      <c r="D130" s="772"/>
      <c r="E130" s="772"/>
      <c r="F130" s="522"/>
      <c r="G130" s="517"/>
      <c r="H130" s="519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533"/>
      <c r="AT130" s="533"/>
      <c r="AU130" s="533"/>
      <c r="AV130" s="533"/>
      <c r="AW130" s="533"/>
      <c r="AX130" s="533"/>
      <c r="AY130" s="533"/>
      <c r="AZ130" s="533"/>
      <c r="BA130" s="533"/>
      <c r="BB130" s="533"/>
      <c r="BC130" s="533"/>
      <c r="BD130" s="533"/>
      <c r="BE130" s="540"/>
      <c r="BF130" s="540"/>
      <c r="BG130" s="533"/>
      <c r="BH130" s="531"/>
      <c r="BI130" s="532"/>
      <c r="BJ130" s="533"/>
      <c r="BK130" s="533"/>
      <c r="BL130" s="533"/>
      <c r="BM130" s="533"/>
    </row>
    <row r="131" spans="4:65" s="518" customFormat="1">
      <c r="D131" s="772"/>
      <c r="E131" s="772"/>
      <c r="F131" s="522"/>
      <c r="G131" s="517"/>
      <c r="H131" s="519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533"/>
      <c r="AT131" s="533"/>
      <c r="AU131" s="533"/>
      <c r="AV131" s="533"/>
      <c r="AW131" s="533"/>
      <c r="AX131" s="533"/>
      <c r="AY131" s="533"/>
      <c r="AZ131" s="533"/>
      <c r="BA131" s="533"/>
      <c r="BB131" s="533"/>
      <c r="BC131" s="533"/>
      <c r="BD131" s="533"/>
      <c r="BE131" s="540"/>
      <c r="BF131" s="540"/>
      <c r="BG131" s="533"/>
      <c r="BH131" s="531"/>
      <c r="BI131" s="532"/>
      <c r="BJ131" s="533"/>
      <c r="BK131" s="533"/>
      <c r="BL131" s="533"/>
      <c r="BM131" s="533"/>
    </row>
    <row r="132" spans="4:65" s="518" customFormat="1">
      <c r="D132" s="772"/>
      <c r="E132" s="772"/>
      <c r="F132" s="522"/>
      <c r="G132" s="517"/>
      <c r="H132" s="519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533"/>
      <c r="AT132" s="533"/>
      <c r="AU132" s="533"/>
      <c r="AV132" s="533"/>
      <c r="AW132" s="533"/>
      <c r="AX132" s="533"/>
      <c r="AY132" s="533"/>
      <c r="AZ132" s="533"/>
      <c r="BA132" s="533"/>
      <c r="BB132" s="533"/>
      <c r="BC132" s="533"/>
      <c r="BD132" s="533"/>
      <c r="BE132" s="540"/>
      <c r="BF132" s="540"/>
      <c r="BG132" s="533"/>
      <c r="BH132" s="531"/>
      <c r="BI132" s="532"/>
      <c r="BJ132" s="533"/>
      <c r="BK132" s="533"/>
      <c r="BL132" s="533"/>
      <c r="BM132" s="533"/>
    </row>
    <row r="133" spans="4:65" s="518" customFormat="1">
      <c r="D133" s="772"/>
      <c r="E133" s="772"/>
      <c r="F133" s="522"/>
      <c r="G133" s="517"/>
      <c r="H133" s="519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  <c r="AS133" s="533"/>
      <c r="AT133" s="533"/>
      <c r="AU133" s="533"/>
      <c r="AV133" s="533"/>
      <c r="AW133" s="533"/>
      <c r="AX133" s="533"/>
      <c r="AY133" s="533"/>
      <c r="AZ133" s="533"/>
      <c r="BA133" s="533"/>
      <c r="BB133" s="533"/>
      <c r="BC133" s="533"/>
      <c r="BD133" s="533"/>
      <c r="BE133" s="540"/>
      <c r="BF133" s="540"/>
      <c r="BG133" s="533"/>
      <c r="BH133" s="531"/>
      <c r="BI133" s="532"/>
      <c r="BJ133" s="533"/>
      <c r="BK133" s="533"/>
      <c r="BL133" s="533"/>
      <c r="BM133" s="533"/>
    </row>
    <row r="134" spans="4:65" s="518" customFormat="1">
      <c r="D134" s="772"/>
      <c r="E134" s="772"/>
      <c r="F134" s="522"/>
      <c r="G134" s="517"/>
      <c r="H134" s="519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  <c r="AS134" s="533"/>
      <c r="AT134" s="533"/>
      <c r="AU134" s="533"/>
      <c r="AV134" s="533"/>
      <c r="AW134" s="533"/>
      <c r="AX134" s="533"/>
      <c r="AY134" s="533"/>
      <c r="AZ134" s="533"/>
      <c r="BA134" s="533"/>
      <c r="BB134" s="533"/>
      <c r="BC134" s="533"/>
      <c r="BD134" s="533"/>
      <c r="BE134" s="540"/>
      <c r="BF134" s="540"/>
      <c r="BG134" s="533"/>
      <c r="BH134" s="531"/>
      <c r="BI134" s="532"/>
      <c r="BJ134" s="533"/>
      <c r="BK134" s="533"/>
      <c r="BL134" s="533"/>
      <c r="BM134" s="533"/>
    </row>
    <row r="135" spans="4:65" s="518" customFormat="1">
      <c r="D135" s="772"/>
      <c r="E135" s="772"/>
      <c r="F135" s="522"/>
      <c r="G135" s="517"/>
      <c r="H135" s="519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  <c r="AS135" s="533"/>
      <c r="AT135" s="533"/>
      <c r="AU135" s="533"/>
      <c r="AV135" s="533"/>
      <c r="AW135" s="533"/>
      <c r="AX135" s="533"/>
      <c r="AY135" s="533"/>
      <c r="AZ135" s="533"/>
      <c r="BA135" s="533"/>
      <c r="BB135" s="533"/>
      <c r="BC135" s="533"/>
      <c r="BD135" s="533"/>
      <c r="BE135" s="540"/>
      <c r="BF135" s="540"/>
      <c r="BG135" s="533"/>
      <c r="BH135" s="531"/>
      <c r="BI135" s="532"/>
      <c r="BJ135" s="533"/>
      <c r="BK135" s="533"/>
      <c r="BL135" s="533"/>
      <c r="BM135" s="533"/>
    </row>
    <row r="136" spans="4:65" s="518" customFormat="1">
      <c r="D136" s="772"/>
      <c r="E136" s="772"/>
      <c r="F136" s="522"/>
      <c r="G136" s="517"/>
      <c r="H136" s="519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  <c r="AS136" s="533"/>
      <c r="AT136" s="533"/>
      <c r="AU136" s="533"/>
      <c r="AV136" s="533"/>
      <c r="AW136" s="533"/>
      <c r="AX136" s="533"/>
      <c r="AY136" s="533"/>
      <c r="AZ136" s="533"/>
      <c r="BA136" s="533"/>
      <c r="BB136" s="533"/>
      <c r="BC136" s="533"/>
      <c r="BD136" s="533"/>
      <c r="BE136" s="540"/>
      <c r="BF136" s="540"/>
      <c r="BG136" s="533"/>
      <c r="BH136" s="531"/>
      <c r="BI136" s="532"/>
      <c r="BJ136" s="533"/>
      <c r="BK136" s="533"/>
      <c r="BL136" s="533"/>
      <c r="BM136" s="533"/>
    </row>
    <row r="137" spans="4:65" s="518" customFormat="1">
      <c r="D137" s="772"/>
      <c r="E137" s="772"/>
      <c r="F137" s="522"/>
      <c r="G137" s="517"/>
      <c r="H137" s="519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  <c r="AS137" s="533"/>
      <c r="AT137" s="533"/>
      <c r="AU137" s="533"/>
      <c r="AV137" s="533"/>
      <c r="AW137" s="533"/>
      <c r="AX137" s="533"/>
      <c r="AY137" s="533"/>
      <c r="AZ137" s="533"/>
      <c r="BA137" s="533"/>
      <c r="BB137" s="533"/>
      <c r="BC137" s="533"/>
      <c r="BD137" s="533"/>
      <c r="BE137" s="540"/>
      <c r="BF137" s="540"/>
      <c r="BG137" s="533"/>
      <c r="BH137" s="531"/>
      <c r="BI137" s="532"/>
      <c r="BJ137" s="533"/>
      <c r="BK137" s="533"/>
      <c r="BL137" s="533"/>
      <c r="BM137" s="533"/>
    </row>
    <row r="138" spans="4:65" s="518" customFormat="1">
      <c r="D138" s="772"/>
      <c r="E138" s="772"/>
      <c r="F138" s="522"/>
      <c r="G138" s="517"/>
      <c r="H138" s="519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  <c r="AS138" s="533"/>
      <c r="AT138" s="533"/>
      <c r="AU138" s="533"/>
      <c r="AV138" s="533"/>
      <c r="AW138" s="533"/>
      <c r="AX138" s="533"/>
      <c r="AY138" s="533"/>
      <c r="AZ138" s="533"/>
      <c r="BA138" s="533"/>
      <c r="BB138" s="533"/>
      <c r="BC138" s="533"/>
      <c r="BD138" s="533"/>
      <c r="BE138" s="540"/>
      <c r="BF138" s="540"/>
      <c r="BG138" s="533"/>
      <c r="BH138" s="531"/>
      <c r="BI138" s="532"/>
      <c r="BJ138" s="533"/>
      <c r="BK138" s="533"/>
      <c r="BL138" s="533"/>
      <c r="BM138" s="533"/>
    </row>
    <row r="139" spans="4:65" s="518" customFormat="1">
      <c r="D139" s="772"/>
      <c r="E139" s="772"/>
      <c r="F139" s="522"/>
      <c r="G139" s="517"/>
      <c r="H139" s="519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  <c r="AS139" s="533"/>
      <c r="AT139" s="533"/>
      <c r="AU139" s="533"/>
      <c r="AV139" s="533"/>
      <c r="AW139" s="533"/>
      <c r="AX139" s="533"/>
      <c r="AY139" s="533"/>
      <c r="AZ139" s="533"/>
      <c r="BA139" s="533"/>
      <c r="BB139" s="533"/>
      <c r="BC139" s="533"/>
      <c r="BD139" s="533"/>
      <c r="BE139" s="540"/>
      <c r="BF139" s="540"/>
      <c r="BG139" s="533"/>
      <c r="BH139" s="531"/>
      <c r="BI139" s="532"/>
      <c r="BJ139" s="533"/>
      <c r="BK139" s="533"/>
      <c r="BL139" s="533"/>
      <c r="BM139" s="533"/>
    </row>
    <row r="140" spans="4:65" s="518" customFormat="1">
      <c r="D140" s="772"/>
      <c r="E140" s="772"/>
      <c r="F140" s="522"/>
      <c r="G140" s="517"/>
      <c r="H140" s="519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  <c r="AS140" s="533"/>
      <c r="AT140" s="533"/>
      <c r="AU140" s="533"/>
      <c r="AV140" s="533"/>
      <c r="AW140" s="533"/>
      <c r="AX140" s="533"/>
      <c r="AY140" s="533"/>
      <c r="AZ140" s="533"/>
      <c r="BA140" s="533"/>
      <c r="BB140" s="533"/>
      <c r="BC140" s="533"/>
      <c r="BD140" s="533"/>
      <c r="BE140" s="540"/>
      <c r="BF140" s="540"/>
      <c r="BG140" s="533"/>
      <c r="BH140" s="531"/>
      <c r="BI140" s="532"/>
      <c r="BJ140" s="533"/>
      <c r="BK140" s="533"/>
      <c r="BL140" s="533"/>
      <c r="BM140" s="533"/>
    </row>
    <row r="141" spans="4:65" s="518" customFormat="1">
      <c r="D141" s="772"/>
      <c r="E141" s="772"/>
      <c r="F141" s="522"/>
      <c r="G141" s="517"/>
      <c r="H141" s="519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  <c r="AS141" s="533"/>
      <c r="AT141" s="533"/>
      <c r="AU141" s="533"/>
      <c r="AV141" s="533"/>
      <c r="AW141" s="533"/>
      <c r="AX141" s="533"/>
      <c r="AY141" s="533"/>
      <c r="AZ141" s="533"/>
      <c r="BA141" s="533"/>
      <c r="BB141" s="533"/>
      <c r="BC141" s="533"/>
      <c r="BD141" s="533"/>
      <c r="BE141" s="540"/>
      <c r="BF141" s="540"/>
      <c r="BG141" s="533"/>
      <c r="BH141" s="531"/>
      <c r="BI141" s="532"/>
      <c r="BJ141" s="533"/>
      <c r="BK141" s="533"/>
      <c r="BL141" s="533"/>
      <c r="BM141" s="533"/>
    </row>
    <row r="142" spans="4:65" s="518" customFormat="1">
      <c r="D142" s="772"/>
      <c r="E142" s="772"/>
      <c r="F142" s="522"/>
      <c r="G142" s="517"/>
      <c r="H142" s="519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  <c r="AS142" s="533"/>
      <c r="AT142" s="533"/>
      <c r="AU142" s="533"/>
      <c r="AV142" s="533"/>
      <c r="AW142" s="533"/>
      <c r="AX142" s="533"/>
      <c r="AY142" s="533"/>
      <c r="AZ142" s="533"/>
      <c r="BA142" s="533"/>
      <c r="BB142" s="533"/>
      <c r="BC142" s="533"/>
      <c r="BD142" s="533"/>
      <c r="BE142" s="540"/>
      <c r="BF142" s="540"/>
      <c r="BG142" s="533"/>
      <c r="BH142" s="531"/>
      <c r="BI142" s="532"/>
      <c r="BJ142" s="533"/>
      <c r="BK142" s="533"/>
      <c r="BL142" s="533"/>
      <c r="BM142" s="533"/>
    </row>
    <row r="143" spans="4:65" s="518" customFormat="1">
      <c r="D143" s="772"/>
      <c r="E143" s="772"/>
      <c r="F143" s="522"/>
      <c r="G143" s="517"/>
      <c r="H143" s="519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  <c r="AS143" s="533"/>
      <c r="AT143" s="533"/>
      <c r="AU143" s="533"/>
      <c r="AV143" s="533"/>
      <c r="AW143" s="533"/>
      <c r="AX143" s="533"/>
      <c r="AY143" s="533"/>
      <c r="AZ143" s="533"/>
      <c r="BA143" s="533"/>
      <c r="BB143" s="533"/>
      <c r="BC143" s="533"/>
      <c r="BD143" s="533"/>
      <c r="BE143" s="540"/>
      <c r="BF143" s="540"/>
      <c r="BG143" s="533"/>
      <c r="BH143" s="531"/>
      <c r="BI143" s="532"/>
      <c r="BJ143" s="533"/>
      <c r="BK143" s="533"/>
      <c r="BL143" s="533"/>
      <c r="BM143" s="533"/>
    </row>
    <row r="144" spans="4:65" s="518" customFormat="1">
      <c r="D144" s="772"/>
      <c r="E144" s="772"/>
      <c r="F144" s="522"/>
      <c r="G144" s="517"/>
      <c r="H144" s="519"/>
      <c r="I144" s="533"/>
      <c r="J144" s="533"/>
      <c r="K144" s="533"/>
      <c r="L144" s="533"/>
      <c r="M144" s="533"/>
      <c r="N144" s="533"/>
      <c r="O144" s="533"/>
      <c r="P144" s="533"/>
      <c r="Q144" s="533"/>
      <c r="R144" s="533"/>
      <c r="S144" s="533"/>
      <c r="T144" s="533"/>
      <c r="U144" s="533"/>
      <c r="V144" s="533"/>
      <c r="W144" s="533"/>
      <c r="X144" s="533"/>
      <c r="Y144" s="533"/>
      <c r="Z144" s="533"/>
      <c r="AA144" s="533"/>
      <c r="AB144" s="533"/>
      <c r="AC144" s="533"/>
      <c r="AD144" s="533"/>
      <c r="AE144" s="533"/>
      <c r="AF144" s="533"/>
      <c r="AG144" s="533"/>
      <c r="AH144" s="533"/>
      <c r="AI144" s="533"/>
      <c r="AJ144" s="533"/>
      <c r="AK144" s="533"/>
      <c r="AL144" s="533"/>
      <c r="AM144" s="533"/>
      <c r="AN144" s="533"/>
      <c r="AO144" s="533"/>
      <c r="AP144" s="533"/>
      <c r="AQ144" s="533"/>
      <c r="AR144" s="533"/>
      <c r="AS144" s="533"/>
      <c r="AT144" s="533"/>
      <c r="AU144" s="533"/>
      <c r="AV144" s="533"/>
      <c r="AW144" s="533"/>
      <c r="AX144" s="533"/>
      <c r="AY144" s="533"/>
      <c r="AZ144" s="533"/>
      <c r="BA144" s="533"/>
      <c r="BB144" s="533"/>
      <c r="BC144" s="533"/>
      <c r="BD144" s="533"/>
      <c r="BE144" s="540"/>
      <c r="BF144" s="540"/>
      <c r="BG144" s="533"/>
      <c r="BH144" s="531"/>
      <c r="BI144" s="532"/>
      <c r="BJ144" s="533"/>
      <c r="BK144" s="533"/>
      <c r="BL144" s="533"/>
      <c r="BM144" s="533"/>
    </row>
    <row r="145" spans="4:65" s="518" customFormat="1">
      <c r="D145" s="772"/>
      <c r="E145" s="772"/>
      <c r="F145" s="522"/>
      <c r="G145" s="517"/>
      <c r="H145" s="519"/>
      <c r="I145" s="533"/>
      <c r="J145" s="533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533"/>
      <c r="Y145" s="533"/>
      <c r="Z145" s="533"/>
      <c r="AA145" s="533"/>
      <c r="AB145" s="533"/>
      <c r="AC145" s="533"/>
      <c r="AD145" s="533"/>
      <c r="AE145" s="533"/>
      <c r="AF145" s="533"/>
      <c r="AG145" s="533"/>
      <c r="AH145" s="533"/>
      <c r="AI145" s="533"/>
      <c r="AJ145" s="533"/>
      <c r="AK145" s="533"/>
      <c r="AL145" s="533"/>
      <c r="AM145" s="533"/>
      <c r="AN145" s="533"/>
      <c r="AO145" s="533"/>
      <c r="AP145" s="533"/>
      <c r="AQ145" s="533"/>
      <c r="AR145" s="533"/>
      <c r="AS145" s="533"/>
      <c r="AT145" s="533"/>
      <c r="AU145" s="533"/>
      <c r="AV145" s="533"/>
      <c r="AW145" s="533"/>
      <c r="AX145" s="533"/>
      <c r="AY145" s="533"/>
      <c r="AZ145" s="533"/>
      <c r="BA145" s="533"/>
      <c r="BB145" s="533"/>
      <c r="BC145" s="533"/>
      <c r="BD145" s="533"/>
      <c r="BE145" s="540"/>
      <c r="BF145" s="540"/>
      <c r="BG145" s="533"/>
      <c r="BH145" s="531"/>
      <c r="BI145" s="532"/>
      <c r="BJ145" s="533"/>
      <c r="BK145" s="533"/>
      <c r="BL145" s="533"/>
      <c r="BM145" s="533"/>
    </row>
    <row r="146" spans="4:65" s="518" customFormat="1">
      <c r="D146" s="772"/>
      <c r="E146" s="772"/>
      <c r="F146" s="522"/>
      <c r="G146" s="517"/>
      <c r="H146" s="519"/>
      <c r="I146" s="533"/>
      <c r="J146" s="533"/>
      <c r="K146" s="533"/>
      <c r="L146" s="533"/>
      <c r="M146" s="533"/>
      <c r="N146" s="533"/>
      <c r="O146" s="533"/>
      <c r="P146" s="533"/>
      <c r="Q146" s="533"/>
      <c r="R146" s="533"/>
      <c r="S146" s="533"/>
      <c r="T146" s="533"/>
      <c r="U146" s="533"/>
      <c r="V146" s="533"/>
      <c r="W146" s="533"/>
      <c r="X146" s="533"/>
      <c r="Y146" s="533"/>
      <c r="Z146" s="533"/>
      <c r="AA146" s="533"/>
      <c r="AB146" s="533"/>
      <c r="AC146" s="533"/>
      <c r="AD146" s="533"/>
      <c r="AE146" s="533"/>
      <c r="AF146" s="533"/>
      <c r="AG146" s="533"/>
      <c r="AH146" s="533"/>
      <c r="AI146" s="533"/>
      <c r="AJ146" s="533"/>
      <c r="AK146" s="533"/>
      <c r="AL146" s="533"/>
      <c r="AM146" s="533"/>
      <c r="AN146" s="533"/>
      <c r="AO146" s="533"/>
      <c r="AP146" s="533"/>
      <c r="AQ146" s="533"/>
      <c r="AR146" s="533"/>
      <c r="AS146" s="533"/>
      <c r="AT146" s="533"/>
      <c r="AU146" s="533"/>
      <c r="AV146" s="533"/>
      <c r="AW146" s="533"/>
      <c r="AX146" s="533"/>
      <c r="AY146" s="533"/>
      <c r="AZ146" s="533"/>
      <c r="BA146" s="533"/>
      <c r="BB146" s="533"/>
      <c r="BC146" s="533"/>
      <c r="BD146" s="533"/>
      <c r="BE146" s="540"/>
      <c r="BF146" s="540"/>
      <c r="BG146" s="533"/>
      <c r="BH146" s="531"/>
      <c r="BI146" s="532"/>
      <c r="BJ146" s="533"/>
      <c r="BK146" s="533"/>
      <c r="BL146" s="533"/>
      <c r="BM146" s="533"/>
    </row>
    <row r="147" spans="4:65" s="518" customFormat="1">
      <c r="D147" s="772"/>
      <c r="E147" s="772"/>
      <c r="F147" s="522"/>
      <c r="G147" s="517"/>
      <c r="H147" s="519"/>
      <c r="I147" s="533"/>
      <c r="J147" s="533"/>
      <c r="K147" s="533"/>
      <c r="L147" s="533"/>
      <c r="M147" s="533"/>
      <c r="N147" s="533"/>
      <c r="O147" s="533"/>
      <c r="P147" s="533"/>
      <c r="Q147" s="533"/>
      <c r="R147" s="533"/>
      <c r="S147" s="533"/>
      <c r="T147" s="533"/>
      <c r="U147" s="533"/>
      <c r="V147" s="533"/>
      <c r="W147" s="533"/>
      <c r="X147" s="533"/>
      <c r="Y147" s="533"/>
      <c r="Z147" s="533"/>
      <c r="AA147" s="533"/>
      <c r="AB147" s="533"/>
      <c r="AC147" s="533"/>
      <c r="AD147" s="533"/>
      <c r="AE147" s="533"/>
      <c r="AF147" s="533"/>
      <c r="AG147" s="533"/>
      <c r="AH147" s="533"/>
      <c r="AI147" s="533"/>
      <c r="AJ147" s="533"/>
      <c r="AK147" s="533"/>
      <c r="AL147" s="533"/>
      <c r="AM147" s="533"/>
      <c r="AN147" s="533"/>
      <c r="AO147" s="533"/>
      <c r="AP147" s="533"/>
      <c r="AQ147" s="533"/>
      <c r="AR147" s="533"/>
      <c r="AS147" s="533"/>
      <c r="AT147" s="533"/>
      <c r="AU147" s="533"/>
      <c r="AV147" s="533"/>
      <c r="AW147" s="533"/>
      <c r="AX147" s="533"/>
      <c r="AY147" s="533"/>
      <c r="AZ147" s="533"/>
      <c r="BA147" s="533"/>
      <c r="BB147" s="533"/>
      <c r="BC147" s="533"/>
      <c r="BD147" s="533"/>
      <c r="BE147" s="540"/>
      <c r="BF147" s="540"/>
      <c r="BG147" s="533"/>
      <c r="BH147" s="531"/>
      <c r="BI147" s="532"/>
      <c r="BJ147" s="533"/>
      <c r="BK147" s="533"/>
      <c r="BL147" s="533"/>
      <c r="BM147" s="533"/>
    </row>
    <row r="148" spans="4:65" s="518" customFormat="1">
      <c r="D148" s="772"/>
      <c r="E148" s="772"/>
      <c r="F148" s="522"/>
      <c r="G148" s="517"/>
      <c r="H148" s="519"/>
      <c r="I148" s="533"/>
      <c r="J148" s="533"/>
      <c r="K148" s="533"/>
      <c r="L148" s="533"/>
      <c r="M148" s="533"/>
      <c r="N148" s="533"/>
      <c r="O148" s="533"/>
      <c r="P148" s="533"/>
      <c r="Q148" s="533"/>
      <c r="R148" s="533"/>
      <c r="S148" s="533"/>
      <c r="T148" s="533"/>
      <c r="U148" s="533"/>
      <c r="V148" s="533"/>
      <c r="W148" s="533"/>
      <c r="X148" s="533"/>
      <c r="Y148" s="533"/>
      <c r="Z148" s="533"/>
      <c r="AA148" s="533"/>
      <c r="AB148" s="533"/>
      <c r="AC148" s="533"/>
      <c r="AD148" s="533"/>
      <c r="AE148" s="533"/>
      <c r="AF148" s="533"/>
      <c r="AG148" s="533"/>
      <c r="AH148" s="533"/>
      <c r="AI148" s="533"/>
      <c r="AJ148" s="533"/>
      <c r="AK148" s="533"/>
      <c r="AL148" s="533"/>
      <c r="AM148" s="533"/>
      <c r="AN148" s="533"/>
      <c r="AO148" s="533"/>
      <c r="AP148" s="533"/>
      <c r="AQ148" s="533"/>
      <c r="AR148" s="533"/>
      <c r="AS148" s="533"/>
      <c r="AT148" s="533"/>
      <c r="AU148" s="533"/>
      <c r="AV148" s="533"/>
      <c r="AW148" s="533"/>
      <c r="AX148" s="533"/>
      <c r="AY148" s="533"/>
      <c r="AZ148" s="533"/>
      <c r="BA148" s="533"/>
      <c r="BB148" s="533"/>
      <c r="BC148" s="533"/>
      <c r="BD148" s="533"/>
      <c r="BE148" s="540"/>
      <c r="BF148" s="540"/>
      <c r="BG148" s="533"/>
      <c r="BH148" s="531"/>
      <c r="BI148" s="532"/>
      <c r="BJ148" s="533"/>
      <c r="BK148" s="533"/>
      <c r="BL148" s="533"/>
      <c r="BM148" s="533"/>
    </row>
    <row r="149" spans="4:65" s="518" customFormat="1">
      <c r="D149" s="772"/>
      <c r="E149" s="772"/>
      <c r="F149" s="522"/>
      <c r="G149" s="517"/>
      <c r="H149" s="519"/>
      <c r="I149" s="533"/>
      <c r="J149" s="533"/>
      <c r="K149" s="533"/>
      <c r="L149" s="533"/>
      <c r="M149" s="533"/>
      <c r="N149" s="533"/>
      <c r="O149" s="533"/>
      <c r="P149" s="533"/>
      <c r="Q149" s="533"/>
      <c r="R149" s="533"/>
      <c r="S149" s="533"/>
      <c r="T149" s="533"/>
      <c r="U149" s="533"/>
      <c r="V149" s="533"/>
      <c r="W149" s="533"/>
      <c r="X149" s="533"/>
      <c r="Y149" s="533"/>
      <c r="Z149" s="533"/>
      <c r="AA149" s="533"/>
      <c r="AB149" s="533"/>
      <c r="AC149" s="533"/>
      <c r="AD149" s="533"/>
      <c r="AE149" s="533"/>
      <c r="AF149" s="533"/>
      <c r="AG149" s="533"/>
      <c r="AH149" s="533"/>
      <c r="AI149" s="533"/>
      <c r="AJ149" s="533"/>
      <c r="AK149" s="533"/>
      <c r="AL149" s="533"/>
      <c r="AM149" s="533"/>
      <c r="AN149" s="533"/>
      <c r="AO149" s="533"/>
      <c r="AP149" s="533"/>
      <c r="AQ149" s="533"/>
      <c r="AR149" s="533"/>
      <c r="AS149" s="533"/>
      <c r="AT149" s="533"/>
      <c r="AU149" s="533"/>
      <c r="AV149" s="533"/>
      <c r="AW149" s="533"/>
      <c r="AX149" s="533"/>
      <c r="AY149" s="533"/>
      <c r="AZ149" s="533"/>
      <c r="BA149" s="533"/>
      <c r="BB149" s="533"/>
      <c r="BC149" s="533"/>
      <c r="BD149" s="533"/>
      <c r="BE149" s="540"/>
      <c r="BF149" s="540"/>
      <c r="BG149" s="533"/>
      <c r="BH149" s="531"/>
      <c r="BI149" s="532"/>
      <c r="BJ149" s="533"/>
      <c r="BK149" s="533"/>
      <c r="BL149" s="533"/>
      <c r="BM149" s="533"/>
    </row>
    <row r="150" spans="4:65" s="518" customFormat="1">
      <c r="D150" s="772"/>
      <c r="E150" s="772"/>
      <c r="F150" s="522"/>
      <c r="G150" s="517"/>
      <c r="H150" s="519"/>
      <c r="I150" s="533"/>
      <c r="J150" s="533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  <c r="U150" s="533"/>
      <c r="V150" s="533"/>
      <c r="W150" s="533"/>
      <c r="X150" s="533"/>
      <c r="Y150" s="533"/>
      <c r="Z150" s="533"/>
      <c r="AA150" s="533"/>
      <c r="AB150" s="533"/>
      <c r="AC150" s="533"/>
      <c r="AD150" s="533"/>
      <c r="AE150" s="533"/>
      <c r="AF150" s="533"/>
      <c r="AG150" s="533"/>
      <c r="AH150" s="533"/>
      <c r="AI150" s="533"/>
      <c r="AJ150" s="533"/>
      <c r="AK150" s="533"/>
      <c r="AL150" s="533"/>
      <c r="AM150" s="533"/>
      <c r="AN150" s="533"/>
      <c r="AO150" s="533"/>
      <c r="AP150" s="533"/>
      <c r="AQ150" s="533"/>
      <c r="AR150" s="533"/>
      <c r="AS150" s="533"/>
      <c r="AT150" s="533"/>
      <c r="AU150" s="533"/>
      <c r="AV150" s="533"/>
      <c r="AW150" s="533"/>
      <c r="AX150" s="533"/>
      <c r="AY150" s="533"/>
      <c r="AZ150" s="533"/>
      <c r="BA150" s="533"/>
      <c r="BB150" s="533"/>
      <c r="BC150" s="533"/>
      <c r="BD150" s="533"/>
      <c r="BE150" s="540"/>
      <c r="BF150" s="540"/>
      <c r="BG150" s="533"/>
      <c r="BH150" s="531"/>
      <c r="BI150" s="532"/>
      <c r="BJ150" s="533"/>
      <c r="BK150" s="533"/>
      <c r="BL150" s="533"/>
      <c r="BM150" s="533"/>
    </row>
    <row r="151" spans="4:65" s="518" customFormat="1">
      <c r="D151" s="772"/>
      <c r="E151" s="772"/>
      <c r="F151" s="522"/>
      <c r="G151" s="517"/>
      <c r="H151" s="519"/>
      <c r="I151" s="533"/>
      <c r="J151" s="533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  <c r="U151" s="533"/>
      <c r="V151" s="533"/>
      <c r="W151" s="533"/>
      <c r="X151" s="533"/>
      <c r="Y151" s="533"/>
      <c r="Z151" s="533"/>
      <c r="AA151" s="533"/>
      <c r="AB151" s="533"/>
      <c r="AC151" s="533"/>
      <c r="AD151" s="533"/>
      <c r="AE151" s="533"/>
      <c r="AF151" s="533"/>
      <c r="AG151" s="533"/>
      <c r="AH151" s="533"/>
      <c r="AI151" s="533"/>
      <c r="AJ151" s="533"/>
      <c r="AK151" s="533"/>
      <c r="AL151" s="533"/>
      <c r="AM151" s="533"/>
      <c r="AN151" s="533"/>
      <c r="AO151" s="533"/>
      <c r="AP151" s="533"/>
      <c r="AQ151" s="533"/>
      <c r="AR151" s="533"/>
      <c r="AS151" s="533"/>
      <c r="AT151" s="533"/>
      <c r="AU151" s="533"/>
      <c r="AV151" s="533"/>
      <c r="AW151" s="533"/>
      <c r="AX151" s="533"/>
      <c r="AY151" s="533"/>
      <c r="AZ151" s="533"/>
      <c r="BA151" s="533"/>
      <c r="BB151" s="533"/>
      <c r="BC151" s="533"/>
      <c r="BD151" s="533"/>
      <c r="BE151" s="540"/>
      <c r="BF151" s="540"/>
      <c r="BG151" s="533"/>
      <c r="BH151" s="531"/>
      <c r="BI151" s="532"/>
      <c r="BJ151" s="533"/>
      <c r="BK151" s="533"/>
      <c r="BL151" s="533"/>
      <c r="BM151" s="533"/>
    </row>
    <row r="152" spans="4:65" s="518" customFormat="1">
      <c r="D152" s="772"/>
      <c r="E152" s="772"/>
      <c r="F152" s="522"/>
      <c r="G152" s="517"/>
      <c r="H152" s="519"/>
      <c r="I152" s="533"/>
      <c r="J152" s="533"/>
      <c r="K152" s="533"/>
      <c r="L152" s="533"/>
      <c r="M152" s="533"/>
      <c r="N152" s="533"/>
      <c r="O152" s="533"/>
      <c r="P152" s="533"/>
      <c r="Q152" s="533"/>
      <c r="R152" s="533"/>
      <c r="S152" s="533"/>
      <c r="T152" s="533"/>
      <c r="U152" s="533"/>
      <c r="V152" s="533"/>
      <c r="W152" s="533"/>
      <c r="X152" s="533"/>
      <c r="Y152" s="533"/>
      <c r="Z152" s="533"/>
      <c r="AA152" s="533"/>
      <c r="AB152" s="533"/>
      <c r="AC152" s="533"/>
      <c r="AD152" s="533"/>
      <c r="AE152" s="533"/>
      <c r="AF152" s="533"/>
      <c r="AG152" s="533"/>
      <c r="AH152" s="533"/>
      <c r="AI152" s="533"/>
      <c r="AJ152" s="533"/>
      <c r="AK152" s="533"/>
      <c r="AL152" s="533"/>
      <c r="AM152" s="533"/>
      <c r="AN152" s="533"/>
      <c r="AO152" s="533"/>
      <c r="AP152" s="533"/>
      <c r="AQ152" s="533"/>
      <c r="AR152" s="533"/>
      <c r="AS152" s="533"/>
      <c r="AT152" s="533"/>
      <c r="AU152" s="533"/>
      <c r="AV152" s="533"/>
      <c r="AW152" s="533"/>
      <c r="AX152" s="533"/>
      <c r="AY152" s="533"/>
      <c r="AZ152" s="533"/>
      <c r="BA152" s="533"/>
      <c r="BB152" s="533"/>
      <c r="BC152" s="533"/>
      <c r="BD152" s="533"/>
      <c r="BE152" s="540"/>
      <c r="BF152" s="540"/>
      <c r="BG152" s="533"/>
      <c r="BH152" s="531"/>
      <c r="BI152" s="532"/>
      <c r="BJ152" s="533"/>
      <c r="BK152" s="533"/>
      <c r="BL152" s="533"/>
      <c r="BM152" s="533"/>
    </row>
    <row r="153" spans="4:65" s="518" customFormat="1">
      <c r="D153" s="772"/>
      <c r="E153" s="772"/>
      <c r="F153" s="522"/>
      <c r="G153" s="517"/>
      <c r="H153" s="519"/>
      <c r="I153" s="533"/>
      <c r="J153" s="533"/>
      <c r="K153" s="533"/>
      <c r="L153" s="533"/>
      <c r="M153" s="533"/>
      <c r="N153" s="533"/>
      <c r="O153" s="533"/>
      <c r="P153" s="533"/>
      <c r="Q153" s="533"/>
      <c r="R153" s="533"/>
      <c r="S153" s="533"/>
      <c r="T153" s="533"/>
      <c r="U153" s="533"/>
      <c r="V153" s="533"/>
      <c r="W153" s="533"/>
      <c r="X153" s="533"/>
      <c r="Y153" s="533"/>
      <c r="Z153" s="533"/>
      <c r="AA153" s="533"/>
      <c r="AB153" s="533"/>
      <c r="AC153" s="533"/>
      <c r="AD153" s="533"/>
      <c r="AE153" s="533"/>
      <c r="AF153" s="533"/>
      <c r="AG153" s="533"/>
      <c r="AH153" s="533"/>
      <c r="AI153" s="533"/>
      <c r="AJ153" s="533"/>
      <c r="AK153" s="533"/>
      <c r="AL153" s="533"/>
      <c r="AM153" s="533"/>
      <c r="AN153" s="533"/>
      <c r="AO153" s="533"/>
      <c r="AP153" s="533"/>
      <c r="AQ153" s="533"/>
      <c r="AR153" s="533"/>
      <c r="AS153" s="533"/>
      <c r="AT153" s="533"/>
      <c r="AU153" s="533"/>
      <c r="AV153" s="533"/>
      <c r="AW153" s="533"/>
      <c r="AX153" s="533"/>
      <c r="AY153" s="533"/>
      <c r="AZ153" s="533"/>
      <c r="BA153" s="533"/>
      <c r="BB153" s="533"/>
      <c r="BC153" s="533"/>
      <c r="BD153" s="533"/>
      <c r="BE153" s="540"/>
      <c r="BF153" s="540"/>
      <c r="BG153" s="533"/>
      <c r="BH153" s="531"/>
      <c r="BI153" s="532"/>
      <c r="BJ153" s="533"/>
      <c r="BK153" s="533"/>
      <c r="BL153" s="533"/>
      <c r="BM153" s="533"/>
    </row>
    <row r="154" spans="4:65" s="518" customFormat="1">
      <c r="D154" s="772"/>
      <c r="E154" s="772"/>
      <c r="F154" s="522"/>
      <c r="G154" s="517"/>
      <c r="H154" s="519"/>
      <c r="I154" s="533"/>
      <c r="J154" s="533"/>
      <c r="K154" s="533"/>
      <c r="L154" s="533"/>
      <c r="M154" s="533"/>
      <c r="N154" s="533"/>
      <c r="O154" s="533"/>
      <c r="P154" s="533"/>
      <c r="Q154" s="533"/>
      <c r="R154" s="533"/>
      <c r="S154" s="533"/>
      <c r="T154" s="533"/>
      <c r="U154" s="533"/>
      <c r="V154" s="533"/>
      <c r="W154" s="533"/>
      <c r="X154" s="533"/>
      <c r="Y154" s="533"/>
      <c r="Z154" s="533"/>
      <c r="AA154" s="533"/>
      <c r="AB154" s="533"/>
      <c r="AC154" s="533"/>
      <c r="AD154" s="533"/>
      <c r="AE154" s="533"/>
      <c r="AF154" s="533"/>
      <c r="AG154" s="533"/>
      <c r="AH154" s="533"/>
      <c r="AI154" s="533"/>
      <c r="AJ154" s="533"/>
      <c r="AK154" s="533"/>
      <c r="AL154" s="533"/>
      <c r="AM154" s="533"/>
      <c r="AN154" s="533"/>
      <c r="AO154" s="533"/>
      <c r="AP154" s="533"/>
      <c r="AQ154" s="533"/>
      <c r="AR154" s="533"/>
      <c r="AS154" s="533"/>
      <c r="AT154" s="533"/>
      <c r="AU154" s="533"/>
      <c r="AV154" s="533"/>
      <c r="AW154" s="533"/>
      <c r="AX154" s="533"/>
      <c r="AY154" s="533"/>
      <c r="AZ154" s="533"/>
      <c r="BA154" s="533"/>
      <c r="BB154" s="533"/>
      <c r="BC154" s="533"/>
      <c r="BD154" s="533"/>
      <c r="BE154" s="540"/>
      <c r="BF154" s="540"/>
      <c r="BG154" s="533"/>
      <c r="BH154" s="531"/>
      <c r="BI154" s="532"/>
      <c r="BJ154" s="533"/>
      <c r="BK154" s="533"/>
      <c r="BL154" s="533"/>
      <c r="BM154" s="533"/>
    </row>
    <row r="155" spans="4:65" s="518" customFormat="1">
      <c r="D155" s="772"/>
      <c r="E155" s="772"/>
      <c r="F155" s="522"/>
      <c r="G155" s="517"/>
      <c r="H155" s="519"/>
      <c r="I155" s="533"/>
      <c r="J155" s="533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  <c r="U155" s="533"/>
      <c r="V155" s="533"/>
      <c r="W155" s="533"/>
      <c r="X155" s="533"/>
      <c r="Y155" s="533"/>
      <c r="Z155" s="533"/>
      <c r="AA155" s="533"/>
      <c r="AB155" s="533"/>
      <c r="AC155" s="533"/>
      <c r="AD155" s="533"/>
      <c r="AE155" s="533"/>
      <c r="AF155" s="533"/>
      <c r="AG155" s="533"/>
      <c r="AH155" s="533"/>
      <c r="AI155" s="533"/>
      <c r="AJ155" s="533"/>
      <c r="AK155" s="533"/>
      <c r="AL155" s="533"/>
      <c r="AM155" s="533"/>
      <c r="AN155" s="533"/>
      <c r="AO155" s="533"/>
      <c r="AP155" s="533"/>
      <c r="AQ155" s="533"/>
      <c r="AR155" s="533"/>
      <c r="AS155" s="533"/>
      <c r="AT155" s="533"/>
      <c r="AU155" s="533"/>
      <c r="AV155" s="533"/>
      <c r="AW155" s="533"/>
      <c r="AX155" s="533"/>
      <c r="AY155" s="533"/>
      <c r="AZ155" s="533"/>
      <c r="BA155" s="533"/>
      <c r="BB155" s="533"/>
      <c r="BC155" s="533"/>
      <c r="BD155" s="533"/>
      <c r="BE155" s="540"/>
      <c r="BF155" s="540"/>
      <c r="BG155" s="533"/>
      <c r="BH155" s="531"/>
      <c r="BI155" s="532"/>
      <c r="BJ155" s="533"/>
      <c r="BK155" s="533"/>
      <c r="BL155" s="533"/>
      <c r="BM155" s="533"/>
    </row>
    <row r="156" spans="4:65" s="518" customFormat="1">
      <c r="D156" s="772"/>
      <c r="E156" s="772"/>
      <c r="F156" s="522"/>
      <c r="G156" s="517"/>
      <c r="H156" s="519"/>
      <c r="I156" s="533"/>
      <c r="J156" s="533"/>
      <c r="K156" s="533"/>
      <c r="L156" s="533"/>
      <c r="M156" s="533"/>
      <c r="N156" s="533"/>
      <c r="O156" s="533"/>
      <c r="P156" s="533"/>
      <c r="Q156" s="533"/>
      <c r="R156" s="533"/>
      <c r="S156" s="533"/>
      <c r="T156" s="533"/>
      <c r="U156" s="533"/>
      <c r="V156" s="533"/>
      <c r="W156" s="533"/>
      <c r="X156" s="533"/>
      <c r="Y156" s="533"/>
      <c r="Z156" s="533"/>
      <c r="AA156" s="533"/>
      <c r="AB156" s="533"/>
      <c r="AC156" s="533"/>
      <c r="AD156" s="533"/>
      <c r="AE156" s="533"/>
      <c r="AF156" s="533"/>
      <c r="AG156" s="533"/>
      <c r="AH156" s="533"/>
      <c r="AI156" s="533"/>
      <c r="AJ156" s="533"/>
      <c r="AK156" s="533"/>
      <c r="AL156" s="533"/>
      <c r="AM156" s="533"/>
      <c r="AN156" s="533"/>
      <c r="AO156" s="533"/>
      <c r="AP156" s="533"/>
      <c r="AQ156" s="533"/>
      <c r="AR156" s="533"/>
      <c r="AS156" s="533"/>
      <c r="AT156" s="533"/>
      <c r="AU156" s="533"/>
      <c r="AV156" s="533"/>
      <c r="AW156" s="533"/>
      <c r="AX156" s="533"/>
      <c r="AY156" s="533"/>
      <c r="AZ156" s="533"/>
      <c r="BA156" s="533"/>
      <c r="BB156" s="533"/>
      <c r="BC156" s="533"/>
      <c r="BD156" s="533"/>
      <c r="BE156" s="540"/>
      <c r="BF156" s="540"/>
      <c r="BG156" s="533"/>
      <c r="BH156" s="531"/>
      <c r="BI156" s="532"/>
      <c r="BJ156" s="533"/>
      <c r="BK156" s="533"/>
      <c r="BL156" s="533"/>
      <c r="BM156" s="533"/>
    </row>
    <row r="157" spans="4:65" s="518" customFormat="1">
      <c r="D157" s="772"/>
      <c r="E157" s="772"/>
      <c r="F157" s="522"/>
      <c r="G157" s="517"/>
      <c r="H157" s="519"/>
      <c r="I157" s="533"/>
      <c r="J157" s="533"/>
      <c r="K157" s="533"/>
      <c r="L157" s="533"/>
      <c r="M157" s="533"/>
      <c r="N157" s="533"/>
      <c r="O157" s="533"/>
      <c r="P157" s="533"/>
      <c r="Q157" s="533"/>
      <c r="R157" s="533"/>
      <c r="S157" s="533"/>
      <c r="T157" s="533"/>
      <c r="U157" s="533"/>
      <c r="V157" s="533"/>
      <c r="W157" s="533"/>
      <c r="X157" s="533"/>
      <c r="Y157" s="533"/>
      <c r="Z157" s="533"/>
      <c r="AA157" s="533"/>
      <c r="AB157" s="533"/>
      <c r="AC157" s="533"/>
      <c r="AD157" s="533"/>
      <c r="AE157" s="533"/>
      <c r="AF157" s="533"/>
      <c r="AG157" s="533"/>
      <c r="AH157" s="533"/>
      <c r="AI157" s="533"/>
      <c r="AJ157" s="533"/>
      <c r="AK157" s="533"/>
      <c r="AL157" s="533"/>
      <c r="AM157" s="533"/>
      <c r="AN157" s="533"/>
      <c r="AO157" s="533"/>
      <c r="AP157" s="533"/>
      <c r="AQ157" s="533"/>
      <c r="AR157" s="533"/>
      <c r="AS157" s="533"/>
      <c r="AT157" s="533"/>
      <c r="AU157" s="533"/>
      <c r="AV157" s="533"/>
      <c r="AW157" s="533"/>
      <c r="AX157" s="533"/>
      <c r="AY157" s="533"/>
      <c r="AZ157" s="533"/>
      <c r="BA157" s="533"/>
      <c r="BB157" s="533"/>
      <c r="BC157" s="533"/>
      <c r="BD157" s="533"/>
      <c r="BE157" s="540"/>
      <c r="BF157" s="540"/>
      <c r="BG157" s="533"/>
      <c r="BH157" s="531"/>
      <c r="BI157" s="532"/>
      <c r="BJ157" s="533"/>
      <c r="BK157" s="533"/>
      <c r="BL157" s="533"/>
      <c r="BM157" s="533"/>
    </row>
    <row r="158" spans="4:65" s="518" customFormat="1">
      <c r="D158" s="772"/>
      <c r="E158" s="772"/>
      <c r="F158" s="522"/>
      <c r="G158" s="517"/>
      <c r="H158" s="519"/>
      <c r="I158" s="533"/>
      <c r="J158" s="533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  <c r="U158" s="533"/>
      <c r="V158" s="533"/>
      <c r="W158" s="533"/>
      <c r="X158" s="533"/>
      <c r="Y158" s="533"/>
      <c r="Z158" s="533"/>
      <c r="AA158" s="533"/>
      <c r="AB158" s="533"/>
      <c r="AC158" s="533"/>
      <c r="AD158" s="533"/>
      <c r="AE158" s="533"/>
      <c r="AF158" s="533"/>
      <c r="AG158" s="533"/>
      <c r="AH158" s="533"/>
      <c r="AI158" s="533"/>
      <c r="AJ158" s="533"/>
      <c r="AK158" s="533"/>
      <c r="AL158" s="533"/>
      <c r="AM158" s="533"/>
      <c r="AN158" s="533"/>
      <c r="AO158" s="533"/>
      <c r="AP158" s="533"/>
      <c r="AQ158" s="533"/>
      <c r="AR158" s="533"/>
      <c r="AS158" s="533"/>
      <c r="AT158" s="533"/>
      <c r="AU158" s="533"/>
      <c r="AV158" s="533"/>
      <c r="AW158" s="533"/>
      <c r="AX158" s="533"/>
      <c r="AY158" s="533"/>
      <c r="AZ158" s="533"/>
      <c r="BA158" s="533"/>
      <c r="BB158" s="533"/>
      <c r="BC158" s="533"/>
      <c r="BD158" s="533"/>
      <c r="BE158" s="540"/>
      <c r="BF158" s="540"/>
      <c r="BG158" s="533"/>
      <c r="BH158" s="531"/>
      <c r="BI158" s="532"/>
      <c r="BJ158" s="533"/>
      <c r="BK158" s="533"/>
      <c r="BL158" s="533"/>
      <c r="BM158" s="533"/>
    </row>
    <row r="159" spans="4:65" s="518" customFormat="1">
      <c r="D159" s="772"/>
      <c r="E159" s="772"/>
      <c r="F159" s="522"/>
      <c r="G159" s="517"/>
      <c r="H159" s="519"/>
      <c r="I159" s="533"/>
      <c r="J159" s="533"/>
      <c r="K159" s="533"/>
      <c r="L159" s="533"/>
      <c r="M159" s="533"/>
      <c r="N159" s="533"/>
      <c r="O159" s="533"/>
      <c r="P159" s="533"/>
      <c r="Q159" s="533"/>
      <c r="R159" s="533"/>
      <c r="S159" s="533"/>
      <c r="T159" s="533"/>
      <c r="U159" s="533"/>
      <c r="V159" s="533"/>
      <c r="W159" s="533"/>
      <c r="X159" s="533"/>
      <c r="Y159" s="533"/>
      <c r="Z159" s="533"/>
      <c r="AA159" s="533"/>
      <c r="AB159" s="533"/>
      <c r="AC159" s="533"/>
      <c r="AD159" s="533"/>
      <c r="AE159" s="533"/>
      <c r="AF159" s="533"/>
      <c r="AG159" s="533"/>
      <c r="AH159" s="533"/>
      <c r="AI159" s="533"/>
      <c r="AJ159" s="533"/>
      <c r="AK159" s="533"/>
      <c r="AL159" s="533"/>
      <c r="AM159" s="533"/>
      <c r="AN159" s="533"/>
      <c r="AO159" s="533"/>
      <c r="AP159" s="533"/>
      <c r="AQ159" s="533"/>
      <c r="AR159" s="533"/>
      <c r="AS159" s="533"/>
      <c r="AT159" s="533"/>
      <c r="AU159" s="533"/>
      <c r="AV159" s="533"/>
      <c r="AW159" s="533"/>
      <c r="AX159" s="533"/>
      <c r="AY159" s="533"/>
      <c r="AZ159" s="533"/>
      <c r="BA159" s="533"/>
      <c r="BB159" s="533"/>
      <c r="BC159" s="533"/>
      <c r="BD159" s="533"/>
      <c r="BE159" s="540"/>
      <c r="BF159" s="540"/>
      <c r="BG159" s="533"/>
      <c r="BH159" s="531"/>
      <c r="BI159" s="532"/>
      <c r="BJ159" s="533"/>
      <c r="BK159" s="533"/>
      <c r="BL159" s="533"/>
      <c r="BM159" s="533"/>
    </row>
    <row r="160" spans="4:65" s="518" customFormat="1">
      <c r="D160" s="772"/>
      <c r="E160" s="772"/>
      <c r="F160" s="522"/>
      <c r="G160" s="517"/>
      <c r="H160" s="519"/>
      <c r="I160" s="533"/>
      <c r="J160" s="533"/>
      <c r="K160" s="533"/>
      <c r="L160" s="533"/>
      <c r="M160" s="533"/>
      <c r="N160" s="533"/>
      <c r="O160" s="533"/>
      <c r="P160" s="533"/>
      <c r="Q160" s="533"/>
      <c r="R160" s="533"/>
      <c r="S160" s="533"/>
      <c r="T160" s="533"/>
      <c r="U160" s="533"/>
      <c r="V160" s="533"/>
      <c r="W160" s="533"/>
      <c r="X160" s="533"/>
      <c r="Y160" s="533"/>
      <c r="Z160" s="533"/>
      <c r="AA160" s="533"/>
      <c r="AB160" s="533"/>
      <c r="AC160" s="533"/>
      <c r="AD160" s="533"/>
      <c r="AE160" s="533"/>
      <c r="AF160" s="533"/>
      <c r="AG160" s="533"/>
      <c r="AH160" s="533"/>
      <c r="AI160" s="533"/>
      <c r="AJ160" s="533"/>
      <c r="AK160" s="533"/>
      <c r="AL160" s="533"/>
      <c r="AM160" s="533"/>
      <c r="AN160" s="533"/>
      <c r="AO160" s="533"/>
      <c r="AP160" s="533"/>
      <c r="AQ160" s="533"/>
      <c r="AR160" s="533"/>
      <c r="AS160" s="533"/>
      <c r="AT160" s="533"/>
      <c r="AU160" s="533"/>
      <c r="AV160" s="533"/>
      <c r="AW160" s="533"/>
      <c r="AX160" s="533"/>
      <c r="AY160" s="533"/>
      <c r="AZ160" s="533"/>
      <c r="BA160" s="533"/>
      <c r="BB160" s="533"/>
      <c r="BC160" s="533"/>
      <c r="BD160" s="533"/>
      <c r="BE160" s="540"/>
      <c r="BF160" s="540"/>
      <c r="BG160" s="533"/>
      <c r="BH160" s="531"/>
      <c r="BI160" s="532"/>
      <c r="BJ160" s="533"/>
      <c r="BK160" s="533"/>
      <c r="BL160" s="533"/>
      <c r="BM160" s="533"/>
    </row>
    <row r="161" spans="4:65" s="518" customFormat="1">
      <c r="D161" s="772"/>
      <c r="E161" s="772"/>
      <c r="F161" s="522"/>
      <c r="G161" s="517"/>
      <c r="H161" s="519"/>
      <c r="I161" s="533"/>
      <c r="J161" s="533"/>
      <c r="K161" s="533"/>
      <c r="L161" s="533"/>
      <c r="M161" s="533"/>
      <c r="N161" s="533"/>
      <c r="O161" s="533"/>
      <c r="P161" s="533"/>
      <c r="Q161" s="533"/>
      <c r="R161" s="533"/>
      <c r="S161" s="533"/>
      <c r="T161" s="533"/>
      <c r="U161" s="533"/>
      <c r="V161" s="533"/>
      <c r="W161" s="533"/>
      <c r="X161" s="533"/>
      <c r="Y161" s="533"/>
      <c r="Z161" s="533"/>
      <c r="AA161" s="533"/>
      <c r="AB161" s="533"/>
      <c r="AC161" s="533"/>
      <c r="AD161" s="533"/>
      <c r="AE161" s="533"/>
      <c r="AF161" s="533"/>
      <c r="AG161" s="533"/>
      <c r="AH161" s="533"/>
      <c r="AI161" s="533"/>
      <c r="AJ161" s="533"/>
      <c r="AK161" s="533"/>
      <c r="AL161" s="533"/>
      <c r="AM161" s="533"/>
      <c r="AN161" s="533"/>
      <c r="AO161" s="533"/>
      <c r="AP161" s="533"/>
      <c r="AQ161" s="533"/>
      <c r="AR161" s="533"/>
      <c r="AS161" s="533"/>
      <c r="AT161" s="533"/>
      <c r="AU161" s="533"/>
      <c r="AV161" s="533"/>
      <c r="AW161" s="533"/>
      <c r="AX161" s="533"/>
      <c r="AY161" s="533"/>
      <c r="AZ161" s="533"/>
      <c r="BA161" s="533"/>
      <c r="BB161" s="533"/>
      <c r="BC161" s="533"/>
      <c r="BD161" s="533"/>
      <c r="BE161" s="540"/>
      <c r="BF161" s="540"/>
      <c r="BG161" s="533"/>
      <c r="BH161" s="531"/>
      <c r="BI161" s="532"/>
      <c r="BJ161" s="533"/>
      <c r="BK161" s="533"/>
      <c r="BL161" s="533"/>
      <c r="BM161" s="533"/>
    </row>
    <row r="162" spans="4:65" s="518" customFormat="1">
      <c r="D162" s="772"/>
      <c r="E162" s="772"/>
      <c r="F162" s="522"/>
      <c r="G162" s="517"/>
      <c r="H162" s="519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33"/>
      <c r="Z162" s="533"/>
      <c r="AA162" s="533"/>
      <c r="AB162" s="533"/>
      <c r="AC162" s="533"/>
      <c r="AD162" s="533"/>
      <c r="AE162" s="533"/>
      <c r="AF162" s="533"/>
      <c r="AG162" s="533"/>
      <c r="AH162" s="533"/>
      <c r="AI162" s="533"/>
      <c r="AJ162" s="533"/>
      <c r="AK162" s="533"/>
      <c r="AL162" s="533"/>
      <c r="AM162" s="533"/>
      <c r="AN162" s="533"/>
      <c r="AO162" s="533"/>
      <c r="AP162" s="533"/>
      <c r="AQ162" s="533"/>
      <c r="AR162" s="533"/>
      <c r="AS162" s="533"/>
      <c r="AT162" s="533"/>
      <c r="AU162" s="533"/>
      <c r="AV162" s="533"/>
      <c r="AW162" s="533"/>
      <c r="AX162" s="533"/>
      <c r="AY162" s="533"/>
      <c r="AZ162" s="533"/>
      <c r="BA162" s="533"/>
      <c r="BB162" s="533"/>
      <c r="BC162" s="533"/>
      <c r="BD162" s="533"/>
      <c r="BE162" s="540"/>
      <c r="BF162" s="540"/>
      <c r="BG162" s="533"/>
      <c r="BH162" s="531"/>
      <c r="BI162" s="532"/>
      <c r="BJ162" s="533"/>
      <c r="BK162" s="533"/>
      <c r="BL162" s="533"/>
      <c r="BM162" s="533"/>
    </row>
    <row r="163" spans="4:65" s="518" customFormat="1">
      <c r="D163" s="772"/>
      <c r="E163" s="772"/>
      <c r="F163" s="522"/>
      <c r="G163" s="517"/>
      <c r="H163" s="519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  <c r="S163" s="533"/>
      <c r="T163" s="533"/>
      <c r="U163" s="533"/>
      <c r="V163" s="533"/>
      <c r="W163" s="533"/>
      <c r="X163" s="533"/>
      <c r="Y163" s="533"/>
      <c r="Z163" s="533"/>
      <c r="AA163" s="533"/>
      <c r="AB163" s="533"/>
      <c r="AC163" s="533"/>
      <c r="AD163" s="533"/>
      <c r="AE163" s="533"/>
      <c r="AF163" s="533"/>
      <c r="AG163" s="533"/>
      <c r="AH163" s="533"/>
      <c r="AI163" s="533"/>
      <c r="AJ163" s="533"/>
      <c r="AK163" s="533"/>
      <c r="AL163" s="533"/>
      <c r="AM163" s="533"/>
      <c r="AN163" s="533"/>
      <c r="AO163" s="533"/>
      <c r="AP163" s="533"/>
      <c r="AQ163" s="533"/>
      <c r="AR163" s="533"/>
      <c r="AS163" s="533"/>
      <c r="AT163" s="533"/>
      <c r="AU163" s="533"/>
      <c r="AV163" s="533"/>
      <c r="AW163" s="533"/>
      <c r="AX163" s="533"/>
      <c r="AY163" s="533"/>
      <c r="AZ163" s="533"/>
      <c r="BA163" s="533"/>
      <c r="BB163" s="533"/>
      <c r="BC163" s="533"/>
      <c r="BD163" s="533"/>
      <c r="BE163" s="540"/>
      <c r="BF163" s="540"/>
      <c r="BG163" s="533"/>
      <c r="BH163" s="531"/>
      <c r="BI163" s="532"/>
      <c r="BJ163" s="533"/>
      <c r="BK163" s="533"/>
      <c r="BL163" s="533"/>
      <c r="BM163" s="533"/>
    </row>
    <row r="164" spans="4:65" s="518" customFormat="1">
      <c r="D164" s="772"/>
      <c r="E164" s="772"/>
      <c r="F164" s="522"/>
      <c r="G164" s="517"/>
      <c r="H164" s="519"/>
      <c r="I164" s="533"/>
      <c r="J164" s="533"/>
      <c r="K164" s="533"/>
      <c r="L164" s="533"/>
      <c r="M164" s="533"/>
      <c r="N164" s="533"/>
      <c r="O164" s="533"/>
      <c r="P164" s="533"/>
      <c r="Q164" s="533"/>
      <c r="R164" s="533"/>
      <c r="S164" s="533"/>
      <c r="T164" s="533"/>
      <c r="U164" s="533"/>
      <c r="V164" s="533"/>
      <c r="W164" s="533"/>
      <c r="X164" s="533"/>
      <c r="Y164" s="533"/>
      <c r="Z164" s="533"/>
      <c r="AA164" s="533"/>
      <c r="AB164" s="533"/>
      <c r="AC164" s="533"/>
      <c r="AD164" s="533"/>
      <c r="AE164" s="533"/>
      <c r="AF164" s="533"/>
      <c r="AG164" s="533"/>
      <c r="AH164" s="533"/>
      <c r="AI164" s="533"/>
      <c r="AJ164" s="533"/>
      <c r="AK164" s="533"/>
      <c r="AL164" s="533"/>
      <c r="AM164" s="533"/>
      <c r="AN164" s="533"/>
      <c r="AO164" s="533"/>
      <c r="AP164" s="533"/>
      <c r="AQ164" s="533"/>
      <c r="AR164" s="533"/>
      <c r="AS164" s="533"/>
      <c r="AT164" s="533"/>
      <c r="AU164" s="533"/>
      <c r="AV164" s="533"/>
      <c r="AW164" s="533"/>
      <c r="AX164" s="533"/>
      <c r="AY164" s="533"/>
      <c r="AZ164" s="533"/>
      <c r="BA164" s="533"/>
      <c r="BB164" s="533"/>
      <c r="BC164" s="533"/>
      <c r="BD164" s="533"/>
      <c r="BE164" s="540"/>
      <c r="BF164" s="540"/>
      <c r="BG164" s="533"/>
      <c r="BH164" s="531"/>
      <c r="BI164" s="532"/>
      <c r="BJ164" s="533"/>
      <c r="BK164" s="533"/>
      <c r="BL164" s="533"/>
      <c r="BM164" s="533"/>
    </row>
    <row r="165" spans="4:65" s="518" customFormat="1">
      <c r="D165" s="772"/>
      <c r="E165" s="772"/>
      <c r="F165" s="522"/>
      <c r="G165" s="517"/>
      <c r="H165" s="519"/>
      <c r="I165" s="533"/>
      <c r="J165" s="533"/>
      <c r="K165" s="533"/>
      <c r="L165" s="533"/>
      <c r="M165" s="533"/>
      <c r="N165" s="533"/>
      <c r="O165" s="533"/>
      <c r="P165" s="533"/>
      <c r="Q165" s="533"/>
      <c r="R165" s="533"/>
      <c r="S165" s="533"/>
      <c r="T165" s="533"/>
      <c r="U165" s="533"/>
      <c r="V165" s="533"/>
      <c r="W165" s="533"/>
      <c r="X165" s="533"/>
      <c r="Y165" s="533"/>
      <c r="Z165" s="533"/>
      <c r="AA165" s="533"/>
      <c r="AB165" s="533"/>
      <c r="AC165" s="533"/>
      <c r="AD165" s="533"/>
      <c r="AE165" s="533"/>
      <c r="AF165" s="533"/>
      <c r="AG165" s="533"/>
      <c r="AH165" s="533"/>
      <c r="AI165" s="533"/>
      <c r="AJ165" s="533"/>
      <c r="AK165" s="533"/>
      <c r="AL165" s="533"/>
      <c r="AM165" s="533"/>
      <c r="AN165" s="533"/>
      <c r="AO165" s="533"/>
      <c r="AP165" s="533"/>
      <c r="AQ165" s="533"/>
      <c r="AR165" s="533"/>
      <c r="AS165" s="533"/>
      <c r="AT165" s="533"/>
      <c r="AU165" s="533"/>
      <c r="AV165" s="533"/>
      <c r="AW165" s="533"/>
      <c r="AX165" s="533"/>
      <c r="AY165" s="533"/>
      <c r="AZ165" s="533"/>
      <c r="BA165" s="533"/>
      <c r="BB165" s="533"/>
      <c r="BC165" s="533"/>
      <c r="BD165" s="533"/>
      <c r="BE165" s="540"/>
      <c r="BF165" s="540"/>
      <c r="BG165" s="533"/>
      <c r="BH165" s="531"/>
      <c r="BI165" s="532"/>
      <c r="BJ165" s="533"/>
      <c r="BK165" s="533"/>
      <c r="BL165" s="533"/>
      <c r="BM165" s="533"/>
    </row>
    <row r="166" spans="4:65" s="518" customFormat="1">
      <c r="D166" s="772"/>
      <c r="E166" s="772"/>
      <c r="F166" s="522"/>
      <c r="G166" s="517"/>
      <c r="H166" s="519"/>
      <c r="I166" s="533"/>
      <c r="J166" s="533"/>
      <c r="K166" s="533"/>
      <c r="L166" s="533"/>
      <c r="M166" s="533"/>
      <c r="N166" s="533"/>
      <c r="O166" s="533"/>
      <c r="P166" s="533"/>
      <c r="Q166" s="533"/>
      <c r="R166" s="533"/>
      <c r="S166" s="533"/>
      <c r="T166" s="533"/>
      <c r="U166" s="533"/>
      <c r="V166" s="533"/>
      <c r="W166" s="533"/>
      <c r="X166" s="533"/>
      <c r="Y166" s="533"/>
      <c r="Z166" s="533"/>
      <c r="AA166" s="533"/>
      <c r="AB166" s="533"/>
      <c r="AC166" s="533"/>
      <c r="AD166" s="533"/>
      <c r="AE166" s="533"/>
      <c r="AF166" s="533"/>
      <c r="AG166" s="533"/>
      <c r="AH166" s="533"/>
      <c r="AI166" s="533"/>
      <c r="AJ166" s="533"/>
      <c r="AK166" s="533"/>
      <c r="AL166" s="533"/>
      <c r="AM166" s="533"/>
      <c r="AN166" s="533"/>
      <c r="AO166" s="533"/>
      <c r="AP166" s="533"/>
      <c r="AQ166" s="533"/>
      <c r="AR166" s="533"/>
      <c r="AS166" s="533"/>
      <c r="AT166" s="533"/>
      <c r="AU166" s="533"/>
      <c r="AV166" s="533"/>
      <c r="AW166" s="533"/>
      <c r="AX166" s="533"/>
      <c r="AY166" s="533"/>
      <c r="AZ166" s="533"/>
      <c r="BA166" s="533"/>
      <c r="BB166" s="533"/>
      <c r="BC166" s="533"/>
      <c r="BD166" s="533"/>
      <c r="BE166" s="540"/>
      <c r="BF166" s="540"/>
      <c r="BG166" s="533"/>
      <c r="BH166" s="531"/>
      <c r="BI166" s="532"/>
      <c r="BJ166" s="533"/>
      <c r="BK166" s="533"/>
      <c r="BL166" s="533"/>
      <c r="BM166" s="533"/>
    </row>
    <row r="167" spans="4:65" s="518" customFormat="1">
      <c r="D167" s="772"/>
      <c r="E167" s="772"/>
      <c r="F167" s="522"/>
      <c r="G167" s="517"/>
      <c r="H167" s="519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533"/>
      <c r="T167" s="533"/>
      <c r="U167" s="533"/>
      <c r="V167" s="533"/>
      <c r="W167" s="533"/>
      <c r="X167" s="533"/>
      <c r="Y167" s="533"/>
      <c r="Z167" s="533"/>
      <c r="AA167" s="533"/>
      <c r="AB167" s="533"/>
      <c r="AC167" s="533"/>
      <c r="AD167" s="533"/>
      <c r="AE167" s="533"/>
      <c r="AF167" s="533"/>
      <c r="AG167" s="533"/>
      <c r="AH167" s="533"/>
      <c r="AI167" s="533"/>
      <c r="AJ167" s="533"/>
      <c r="AK167" s="533"/>
      <c r="AL167" s="533"/>
      <c r="AM167" s="533"/>
      <c r="AN167" s="533"/>
      <c r="AO167" s="533"/>
      <c r="AP167" s="533"/>
      <c r="AQ167" s="533"/>
      <c r="AR167" s="533"/>
      <c r="AS167" s="533"/>
      <c r="AT167" s="533"/>
      <c r="AU167" s="533"/>
      <c r="AV167" s="533"/>
      <c r="AW167" s="533"/>
      <c r="AX167" s="533"/>
      <c r="AY167" s="533"/>
      <c r="AZ167" s="533"/>
      <c r="BA167" s="533"/>
      <c r="BB167" s="533"/>
      <c r="BC167" s="533"/>
      <c r="BD167" s="533"/>
      <c r="BE167" s="540"/>
      <c r="BF167" s="540"/>
      <c r="BG167" s="533"/>
      <c r="BH167" s="531"/>
      <c r="BI167" s="532"/>
      <c r="BJ167" s="533"/>
      <c r="BK167" s="533"/>
      <c r="BL167" s="533"/>
      <c r="BM167" s="533"/>
    </row>
    <row r="168" spans="4:65" s="518" customFormat="1">
      <c r="D168" s="772"/>
      <c r="E168" s="772"/>
      <c r="F168" s="522"/>
      <c r="G168" s="517"/>
      <c r="H168" s="519"/>
      <c r="I168" s="533"/>
      <c r="J168" s="533"/>
      <c r="K168" s="533"/>
      <c r="L168" s="533"/>
      <c r="M168" s="533"/>
      <c r="N168" s="533"/>
      <c r="O168" s="533"/>
      <c r="P168" s="533"/>
      <c r="Q168" s="533"/>
      <c r="R168" s="533"/>
      <c r="S168" s="533"/>
      <c r="T168" s="533"/>
      <c r="U168" s="533"/>
      <c r="V168" s="533"/>
      <c r="W168" s="533"/>
      <c r="X168" s="533"/>
      <c r="Y168" s="533"/>
      <c r="Z168" s="533"/>
      <c r="AA168" s="533"/>
      <c r="AB168" s="533"/>
      <c r="AC168" s="533"/>
      <c r="AD168" s="533"/>
      <c r="AE168" s="533"/>
      <c r="AF168" s="533"/>
      <c r="AG168" s="533"/>
      <c r="AH168" s="533"/>
      <c r="AI168" s="533"/>
      <c r="AJ168" s="533"/>
      <c r="AK168" s="533"/>
      <c r="AL168" s="533"/>
      <c r="AM168" s="533"/>
      <c r="AN168" s="533"/>
      <c r="AO168" s="533"/>
      <c r="AP168" s="533"/>
      <c r="AQ168" s="533"/>
      <c r="AR168" s="533"/>
      <c r="AS168" s="533"/>
      <c r="AT168" s="533"/>
      <c r="AU168" s="533"/>
      <c r="AV168" s="533"/>
      <c r="AW168" s="533"/>
      <c r="AX168" s="533"/>
      <c r="AY168" s="533"/>
      <c r="AZ168" s="533"/>
      <c r="BA168" s="533"/>
      <c r="BB168" s="533"/>
      <c r="BC168" s="533"/>
      <c r="BD168" s="533"/>
      <c r="BE168" s="540"/>
      <c r="BF168" s="540"/>
      <c r="BG168" s="533"/>
      <c r="BH168" s="531"/>
      <c r="BI168" s="532"/>
      <c r="BJ168" s="533"/>
      <c r="BK168" s="533"/>
      <c r="BL168" s="533"/>
      <c r="BM168" s="533"/>
    </row>
    <row r="169" spans="4:65" s="518" customFormat="1">
      <c r="D169" s="772"/>
      <c r="E169" s="772"/>
      <c r="F169" s="522"/>
      <c r="G169" s="517"/>
      <c r="H169" s="519"/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  <c r="S169" s="533"/>
      <c r="T169" s="533"/>
      <c r="U169" s="533"/>
      <c r="V169" s="533"/>
      <c r="W169" s="533"/>
      <c r="X169" s="533"/>
      <c r="Y169" s="533"/>
      <c r="Z169" s="533"/>
      <c r="AA169" s="533"/>
      <c r="AB169" s="533"/>
      <c r="AC169" s="533"/>
      <c r="AD169" s="533"/>
      <c r="AE169" s="533"/>
      <c r="AF169" s="533"/>
      <c r="AG169" s="533"/>
      <c r="AH169" s="533"/>
      <c r="AI169" s="533"/>
      <c r="AJ169" s="533"/>
      <c r="AK169" s="533"/>
      <c r="AL169" s="533"/>
      <c r="AM169" s="533"/>
      <c r="AN169" s="533"/>
      <c r="AO169" s="533"/>
      <c r="AP169" s="533"/>
      <c r="AQ169" s="533"/>
      <c r="AR169" s="533"/>
      <c r="AS169" s="533"/>
      <c r="AT169" s="533"/>
      <c r="AU169" s="533"/>
      <c r="AV169" s="533"/>
      <c r="AW169" s="533"/>
      <c r="AX169" s="533"/>
      <c r="AY169" s="533"/>
      <c r="AZ169" s="533"/>
      <c r="BA169" s="533"/>
      <c r="BB169" s="533"/>
      <c r="BC169" s="533"/>
      <c r="BD169" s="533"/>
      <c r="BE169" s="540"/>
      <c r="BF169" s="540"/>
      <c r="BG169" s="533"/>
      <c r="BH169" s="531"/>
      <c r="BI169" s="532"/>
      <c r="BJ169" s="533"/>
      <c r="BK169" s="533"/>
      <c r="BL169" s="533"/>
      <c r="BM169" s="533"/>
    </row>
    <row r="170" spans="4:65" s="518" customFormat="1">
      <c r="D170" s="772"/>
      <c r="E170" s="772"/>
      <c r="F170" s="522"/>
      <c r="G170" s="517"/>
      <c r="H170" s="519"/>
      <c r="I170" s="533"/>
      <c r="J170" s="533"/>
      <c r="K170" s="533"/>
      <c r="L170" s="533"/>
      <c r="M170" s="533"/>
      <c r="N170" s="533"/>
      <c r="O170" s="533"/>
      <c r="P170" s="533"/>
      <c r="Q170" s="533"/>
      <c r="R170" s="533"/>
      <c r="S170" s="533"/>
      <c r="T170" s="533"/>
      <c r="U170" s="533"/>
      <c r="V170" s="533"/>
      <c r="W170" s="533"/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533"/>
      <c r="AI170" s="533"/>
      <c r="AJ170" s="533"/>
      <c r="AK170" s="533"/>
      <c r="AL170" s="533"/>
      <c r="AM170" s="533"/>
      <c r="AN170" s="533"/>
      <c r="AO170" s="533"/>
      <c r="AP170" s="533"/>
      <c r="AQ170" s="533"/>
      <c r="AR170" s="533"/>
      <c r="AS170" s="533"/>
      <c r="AT170" s="533"/>
      <c r="AU170" s="533"/>
      <c r="AV170" s="533"/>
      <c r="AW170" s="533"/>
      <c r="AX170" s="533"/>
      <c r="AY170" s="533"/>
      <c r="AZ170" s="533"/>
      <c r="BA170" s="533"/>
      <c r="BB170" s="533"/>
      <c r="BC170" s="533"/>
      <c r="BD170" s="533"/>
      <c r="BE170" s="540"/>
      <c r="BF170" s="540"/>
      <c r="BG170" s="533"/>
      <c r="BH170" s="531"/>
      <c r="BI170" s="532"/>
      <c r="BJ170" s="533"/>
      <c r="BK170" s="533"/>
      <c r="BL170" s="533"/>
      <c r="BM170" s="533"/>
    </row>
    <row r="171" spans="4:65" s="518" customFormat="1">
      <c r="D171" s="772"/>
      <c r="E171" s="772"/>
      <c r="F171" s="522"/>
      <c r="G171" s="517"/>
      <c r="H171" s="519"/>
      <c r="I171" s="533"/>
      <c r="J171" s="533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3"/>
      <c r="X171" s="533"/>
      <c r="Y171" s="533"/>
      <c r="Z171" s="533"/>
      <c r="AA171" s="533"/>
      <c r="AB171" s="533"/>
      <c r="AC171" s="533"/>
      <c r="AD171" s="533"/>
      <c r="AE171" s="533"/>
      <c r="AF171" s="533"/>
      <c r="AG171" s="533"/>
      <c r="AH171" s="533"/>
      <c r="AI171" s="533"/>
      <c r="AJ171" s="533"/>
      <c r="AK171" s="533"/>
      <c r="AL171" s="533"/>
      <c r="AM171" s="533"/>
      <c r="AN171" s="533"/>
      <c r="AO171" s="533"/>
      <c r="AP171" s="533"/>
      <c r="AQ171" s="533"/>
      <c r="AR171" s="533"/>
      <c r="AS171" s="533"/>
      <c r="AT171" s="533"/>
      <c r="AU171" s="533"/>
      <c r="AV171" s="533"/>
      <c r="AW171" s="533"/>
      <c r="AX171" s="533"/>
      <c r="AY171" s="533"/>
      <c r="AZ171" s="533"/>
      <c r="BA171" s="533"/>
      <c r="BB171" s="533"/>
      <c r="BC171" s="533"/>
      <c r="BD171" s="533"/>
      <c r="BE171" s="540"/>
      <c r="BF171" s="540"/>
      <c r="BG171" s="533"/>
      <c r="BH171" s="531"/>
      <c r="BI171" s="532"/>
      <c r="BJ171" s="533"/>
      <c r="BK171" s="533"/>
      <c r="BL171" s="533"/>
      <c r="BM171" s="533"/>
    </row>
    <row r="172" spans="4:65" s="518" customFormat="1">
      <c r="D172" s="772"/>
      <c r="E172" s="772"/>
      <c r="F172" s="522"/>
      <c r="G172" s="517"/>
      <c r="H172" s="519"/>
      <c r="I172" s="533"/>
      <c r="J172" s="533"/>
      <c r="K172" s="533"/>
      <c r="L172" s="533"/>
      <c r="M172" s="533"/>
      <c r="N172" s="533"/>
      <c r="O172" s="533"/>
      <c r="P172" s="533"/>
      <c r="Q172" s="533"/>
      <c r="R172" s="533"/>
      <c r="S172" s="533"/>
      <c r="T172" s="533"/>
      <c r="U172" s="533"/>
      <c r="V172" s="533"/>
      <c r="W172" s="533"/>
      <c r="X172" s="533"/>
      <c r="Y172" s="533"/>
      <c r="Z172" s="533"/>
      <c r="AA172" s="533"/>
      <c r="AB172" s="533"/>
      <c r="AC172" s="533"/>
      <c r="AD172" s="533"/>
      <c r="AE172" s="533"/>
      <c r="AF172" s="533"/>
      <c r="AG172" s="533"/>
      <c r="AH172" s="533"/>
      <c r="AI172" s="533"/>
      <c r="AJ172" s="533"/>
      <c r="AK172" s="533"/>
      <c r="AL172" s="533"/>
      <c r="AM172" s="533"/>
      <c r="AN172" s="533"/>
      <c r="AO172" s="533"/>
      <c r="AP172" s="533"/>
      <c r="AQ172" s="533"/>
      <c r="AR172" s="533"/>
      <c r="AS172" s="533"/>
      <c r="AT172" s="533"/>
      <c r="AU172" s="533"/>
      <c r="AV172" s="533"/>
      <c r="AW172" s="533"/>
      <c r="AX172" s="533"/>
      <c r="AY172" s="533"/>
      <c r="AZ172" s="533"/>
      <c r="BA172" s="533"/>
      <c r="BB172" s="533"/>
      <c r="BC172" s="533"/>
      <c r="BD172" s="533"/>
      <c r="BE172" s="540"/>
      <c r="BF172" s="540"/>
      <c r="BG172" s="533"/>
      <c r="BH172" s="531"/>
      <c r="BI172" s="532"/>
      <c r="BJ172" s="533"/>
      <c r="BK172" s="533"/>
      <c r="BL172" s="533"/>
      <c r="BM172" s="533"/>
    </row>
    <row r="173" spans="4:65" s="518" customFormat="1">
      <c r="D173" s="772"/>
      <c r="E173" s="772"/>
      <c r="F173" s="522"/>
      <c r="G173" s="517"/>
      <c r="H173" s="519"/>
      <c r="I173" s="533"/>
      <c r="J173" s="533"/>
      <c r="K173" s="533"/>
      <c r="L173" s="533"/>
      <c r="M173" s="533"/>
      <c r="N173" s="533"/>
      <c r="O173" s="533"/>
      <c r="P173" s="533"/>
      <c r="Q173" s="533"/>
      <c r="R173" s="533"/>
      <c r="S173" s="533"/>
      <c r="T173" s="533"/>
      <c r="U173" s="533"/>
      <c r="V173" s="533"/>
      <c r="W173" s="533"/>
      <c r="X173" s="533"/>
      <c r="Y173" s="533"/>
      <c r="Z173" s="533"/>
      <c r="AA173" s="533"/>
      <c r="AB173" s="533"/>
      <c r="AC173" s="533"/>
      <c r="AD173" s="533"/>
      <c r="AE173" s="533"/>
      <c r="AF173" s="533"/>
      <c r="AG173" s="533"/>
      <c r="AH173" s="533"/>
      <c r="AI173" s="533"/>
      <c r="AJ173" s="533"/>
      <c r="AK173" s="533"/>
      <c r="AL173" s="533"/>
      <c r="AM173" s="533"/>
      <c r="AN173" s="533"/>
      <c r="AO173" s="533"/>
      <c r="AP173" s="533"/>
      <c r="AQ173" s="533"/>
      <c r="AR173" s="533"/>
      <c r="AS173" s="533"/>
      <c r="AT173" s="533"/>
      <c r="AU173" s="533"/>
      <c r="AV173" s="533"/>
      <c r="AW173" s="533"/>
      <c r="AX173" s="533"/>
      <c r="AY173" s="533"/>
      <c r="AZ173" s="533"/>
      <c r="BA173" s="533"/>
      <c r="BB173" s="533"/>
      <c r="BC173" s="533"/>
      <c r="BD173" s="533"/>
      <c r="BE173" s="540"/>
      <c r="BF173" s="540"/>
      <c r="BG173" s="533"/>
      <c r="BH173" s="531"/>
      <c r="BI173" s="532"/>
      <c r="BJ173" s="533"/>
      <c r="BK173" s="533"/>
      <c r="BL173" s="533"/>
      <c r="BM173" s="533"/>
    </row>
    <row r="174" spans="4:65" s="518" customFormat="1">
      <c r="D174" s="772"/>
      <c r="E174" s="772"/>
      <c r="F174" s="522"/>
      <c r="G174" s="517"/>
      <c r="H174" s="519"/>
      <c r="I174" s="533"/>
      <c r="J174" s="533"/>
      <c r="K174" s="533"/>
      <c r="L174" s="533"/>
      <c r="M174" s="533"/>
      <c r="N174" s="533"/>
      <c r="O174" s="533"/>
      <c r="P174" s="533"/>
      <c r="Q174" s="533"/>
      <c r="R174" s="533"/>
      <c r="S174" s="533"/>
      <c r="T174" s="533"/>
      <c r="U174" s="533"/>
      <c r="V174" s="533"/>
      <c r="W174" s="533"/>
      <c r="X174" s="533"/>
      <c r="Y174" s="533"/>
      <c r="Z174" s="533"/>
      <c r="AA174" s="533"/>
      <c r="AB174" s="533"/>
      <c r="AC174" s="533"/>
      <c r="AD174" s="533"/>
      <c r="AE174" s="533"/>
      <c r="AF174" s="533"/>
      <c r="AG174" s="533"/>
      <c r="AH174" s="533"/>
      <c r="AI174" s="533"/>
      <c r="AJ174" s="533"/>
      <c r="AK174" s="533"/>
      <c r="AL174" s="533"/>
      <c r="AM174" s="533"/>
      <c r="AN174" s="533"/>
      <c r="AO174" s="533"/>
      <c r="AP174" s="533"/>
      <c r="AQ174" s="533"/>
      <c r="AR174" s="533"/>
      <c r="AS174" s="533"/>
      <c r="AT174" s="533"/>
      <c r="AU174" s="533"/>
      <c r="AV174" s="533"/>
      <c r="AW174" s="533"/>
      <c r="AX174" s="533"/>
      <c r="AY174" s="533"/>
      <c r="AZ174" s="533"/>
      <c r="BA174" s="533"/>
      <c r="BB174" s="533"/>
      <c r="BC174" s="533"/>
      <c r="BD174" s="533"/>
      <c r="BE174" s="540"/>
      <c r="BF174" s="540"/>
      <c r="BG174" s="533"/>
      <c r="BH174" s="531"/>
      <c r="BI174" s="532"/>
      <c r="BJ174" s="533"/>
      <c r="BK174" s="533"/>
      <c r="BL174" s="533"/>
      <c r="BM174" s="533"/>
    </row>
    <row r="175" spans="4:65" s="518" customFormat="1">
      <c r="D175" s="772"/>
      <c r="E175" s="772"/>
      <c r="F175" s="522"/>
      <c r="G175" s="517"/>
      <c r="H175" s="519"/>
      <c r="I175" s="533"/>
      <c r="J175" s="533"/>
      <c r="K175" s="533"/>
      <c r="L175" s="533"/>
      <c r="M175" s="533"/>
      <c r="N175" s="533"/>
      <c r="O175" s="533"/>
      <c r="P175" s="533"/>
      <c r="Q175" s="533"/>
      <c r="R175" s="533"/>
      <c r="S175" s="533"/>
      <c r="T175" s="533"/>
      <c r="U175" s="533"/>
      <c r="V175" s="533"/>
      <c r="W175" s="533"/>
      <c r="X175" s="533"/>
      <c r="Y175" s="533"/>
      <c r="Z175" s="533"/>
      <c r="AA175" s="533"/>
      <c r="AB175" s="533"/>
      <c r="AC175" s="533"/>
      <c r="AD175" s="533"/>
      <c r="AE175" s="533"/>
      <c r="AF175" s="533"/>
      <c r="AG175" s="533"/>
      <c r="AH175" s="533"/>
      <c r="AI175" s="533"/>
      <c r="AJ175" s="533"/>
      <c r="AK175" s="533"/>
      <c r="AL175" s="533"/>
      <c r="AM175" s="533"/>
      <c r="AN175" s="533"/>
      <c r="AO175" s="533"/>
      <c r="AP175" s="533"/>
      <c r="AQ175" s="533"/>
      <c r="AR175" s="533"/>
      <c r="AS175" s="533"/>
      <c r="AT175" s="533"/>
      <c r="AU175" s="533"/>
      <c r="AV175" s="533"/>
      <c r="AW175" s="533"/>
      <c r="AX175" s="533"/>
      <c r="AY175" s="533"/>
      <c r="AZ175" s="533"/>
      <c r="BA175" s="533"/>
      <c r="BB175" s="533"/>
      <c r="BC175" s="533"/>
      <c r="BD175" s="533"/>
      <c r="BE175" s="540"/>
      <c r="BF175" s="540"/>
      <c r="BG175" s="533"/>
      <c r="BH175" s="531"/>
      <c r="BI175" s="532"/>
      <c r="BJ175" s="533"/>
      <c r="BK175" s="533"/>
      <c r="BL175" s="533"/>
      <c r="BM175" s="533"/>
    </row>
    <row r="176" spans="4:65" s="518" customFormat="1">
      <c r="D176" s="772"/>
      <c r="E176" s="772"/>
      <c r="F176" s="522"/>
      <c r="G176" s="517"/>
      <c r="H176" s="519"/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3"/>
      <c r="Z176" s="533"/>
      <c r="AA176" s="533"/>
      <c r="AB176" s="533"/>
      <c r="AC176" s="533"/>
      <c r="AD176" s="533"/>
      <c r="AE176" s="533"/>
      <c r="AF176" s="533"/>
      <c r="AG176" s="533"/>
      <c r="AH176" s="533"/>
      <c r="AI176" s="533"/>
      <c r="AJ176" s="533"/>
      <c r="AK176" s="533"/>
      <c r="AL176" s="533"/>
      <c r="AM176" s="533"/>
      <c r="AN176" s="533"/>
      <c r="AO176" s="533"/>
      <c r="AP176" s="533"/>
      <c r="AQ176" s="533"/>
      <c r="AR176" s="533"/>
      <c r="AS176" s="533"/>
      <c r="AT176" s="533"/>
      <c r="AU176" s="533"/>
      <c r="AV176" s="533"/>
      <c r="AW176" s="533"/>
      <c r="AX176" s="533"/>
      <c r="AY176" s="533"/>
      <c r="AZ176" s="533"/>
      <c r="BA176" s="533"/>
      <c r="BB176" s="533"/>
      <c r="BC176" s="533"/>
      <c r="BD176" s="533"/>
      <c r="BE176" s="540"/>
      <c r="BF176" s="540"/>
      <c r="BG176" s="533"/>
      <c r="BH176" s="531"/>
      <c r="BI176" s="532"/>
      <c r="BJ176" s="533"/>
      <c r="BK176" s="533"/>
      <c r="BL176" s="533"/>
      <c r="BM176" s="533"/>
    </row>
    <row r="177" spans="4:65" s="518" customFormat="1">
      <c r="D177" s="772"/>
      <c r="E177" s="772"/>
      <c r="F177" s="522"/>
      <c r="G177" s="517"/>
      <c r="H177" s="519"/>
      <c r="I177" s="533"/>
      <c r="J177" s="533"/>
      <c r="K177" s="533"/>
      <c r="L177" s="533"/>
      <c r="M177" s="533"/>
      <c r="N177" s="533"/>
      <c r="O177" s="533"/>
      <c r="P177" s="533"/>
      <c r="Q177" s="533"/>
      <c r="R177" s="533"/>
      <c r="S177" s="533"/>
      <c r="T177" s="533"/>
      <c r="U177" s="533"/>
      <c r="V177" s="533"/>
      <c r="W177" s="533"/>
      <c r="X177" s="533"/>
      <c r="Y177" s="533"/>
      <c r="Z177" s="533"/>
      <c r="AA177" s="533"/>
      <c r="AB177" s="533"/>
      <c r="AC177" s="533"/>
      <c r="AD177" s="533"/>
      <c r="AE177" s="533"/>
      <c r="AF177" s="533"/>
      <c r="AG177" s="533"/>
      <c r="AH177" s="533"/>
      <c r="AI177" s="533"/>
      <c r="AJ177" s="533"/>
      <c r="AK177" s="533"/>
      <c r="AL177" s="533"/>
      <c r="AM177" s="533"/>
      <c r="AN177" s="533"/>
      <c r="AO177" s="533"/>
      <c r="AP177" s="533"/>
      <c r="AQ177" s="533"/>
      <c r="AR177" s="533"/>
      <c r="AS177" s="533"/>
      <c r="AT177" s="533"/>
      <c r="AU177" s="533"/>
      <c r="AV177" s="533"/>
      <c r="AW177" s="533"/>
      <c r="AX177" s="533"/>
      <c r="AY177" s="533"/>
      <c r="AZ177" s="533"/>
      <c r="BA177" s="533"/>
      <c r="BB177" s="533"/>
      <c r="BC177" s="533"/>
      <c r="BD177" s="533"/>
      <c r="BE177" s="540"/>
      <c r="BF177" s="540"/>
      <c r="BG177" s="533"/>
      <c r="BH177" s="531"/>
      <c r="BI177" s="532"/>
      <c r="BJ177" s="533"/>
      <c r="BK177" s="533"/>
      <c r="BL177" s="533"/>
      <c r="BM177" s="533"/>
    </row>
    <row r="178" spans="4:65" s="518" customFormat="1">
      <c r="D178" s="772"/>
      <c r="E178" s="772"/>
      <c r="F178" s="522"/>
      <c r="G178" s="517"/>
      <c r="H178" s="519"/>
      <c r="I178" s="533"/>
      <c r="J178" s="533"/>
      <c r="K178" s="533"/>
      <c r="L178" s="533"/>
      <c r="M178" s="533"/>
      <c r="N178" s="533"/>
      <c r="O178" s="533"/>
      <c r="P178" s="533"/>
      <c r="Q178" s="533"/>
      <c r="R178" s="533"/>
      <c r="S178" s="533"/>
      <c r="T178" s="533"/>
      <c r="U178" s="533"/>
      <c r="V178" s="533"/>
      <c r="W178" s="533"/>
      <c r="X178" s="533"/>
      <c r="Y178" s="533"/>
      <c r="Z178" s="533"/>
      <c r="AA178" s="533"/>
      <c r="AB178" s="533"/>
      <c r="AC178" s="533"/>
      <c r="AD178" s="533"/>
      <c r="AE178" s="533"/>
      <c r="AF178" s="533"/>
      <c r="AG178" s="533"/>
      <c r="AH178" s="533"/>
      <c r="AI178" s="533"/>
      <c r="AJ178" s="533"/>
      <c r="AK178" s="533"/>
      <c r="AL178" s="533"/>
      <c r="AM178" s="533"/>
      <c r="AN178" s="533"/>
      <c r="AO178" s="533"/>
      <c r="AP178" s="533"/>
      <c r="AQ178" s="533"/>
      <c r="AR178" s="533"/>
      <c r="AS178" s="533"/>
      <c r="AT178" s="533"/>
      <c r="AU178" s="533"/>
      <c r="AV178" s="533"/>
      <c r="AW178" s="533"/>
      <c r="AX178" s="533"/>
      <c r="AY178" s="533"/>
      <c r="AZ178" s="533"/>
      <c r="BA178" s="533"/>
      <c r="BB178" s="533"/>
      <c r="BC178" s="533"/>
      <c r="BD178" s="533"/>
      <c r="BE178" s="540"/>
      <c r="BF178" s="540"/>
      <c r="BG178" s="533"/>
      <c r="BH178" s="531"/>
      <c r="BI178" s="532"/>
      <c r="BJ178" s="533"/>
      <c r="BK178" s="533"/>
      <c r="BL178" s="533"/>
      <c r="BM178" s="533"/>
    </row>
    <row r="179" spans="4:65" s="518" customFormat="1">
      <c r="D179" s="772"/>
      <c r="E179" s="772"/>
      <c r="F179" s="522"/>
      <c r="G179" s="517"/>
      <c r="H179" s="519"/>
      <c r="I179" s="533"/>
      <c r="J179" s="533"/>
      <c r="K179" s="533"/>
      <c r="L179" s="533"/>
      <c r="M179" s="533"/>
      <c r="N179" s="533"/>
      <c r="O179" s="533"/>
      <c r="P179" s="533"/>
      <c r="Q179" s="533"/>
      <c r="R179" s="533"/>
      <c r="S179" s="533"/>
      <c r="T179" s="533"/>
      <c r="U179" s="533"/>
      <c r="V179" s="533"/>
      <c r="W179" s="533"/>
      <c r="X179" s="533"/>
      <c r="Y179" s="533"/>
      <c r="Z179" s="533"/>
      <c r="AA179" s="533"/>
      <c r="AB179" s="533"/>
      <c r="AC179" s="533"/>
      <c r="AD179" s="533"/>
      <c r="AE179" s="533"/>
      <c r="AF179" s="533"/>
      <c r="AG179" s="533"/>
      <c r="AH179" s="533"/>
      <c r="AI179" s="533"/>
      <c r="AJ179" s="533"/>
      <c r="AK179" s="533"/>
      <c r="AL179" s="533"/>
      <c r="AM179" s="533"/>
      <c r="AN179" s="533"/>
      <c r="AO179" s="533"/>
      <c r="AP179" s="533"/>
      <c r="AQ179" s="533"/>
      <c r="AR179" s="533"/>
      <c r="AS179" s="533"/>
      <c r="AT179" s="533"/>
      <c r="AU179" s="533"/>
      <c r="AV179" s="533"/>
      <c r="AW179" s="533"/>
      <c r="AX179" s="533"/>
      <c r="AY179" s="533"/>
      <c r="AZ179" s="533"/>
      <c r="BA179" s="533"/>
      <c r="BB179" s="533"/>
      <c r="BC179" s="533"/>
      <c r="BD179" s="533"/>
      <c r="BE179" s="540"/>
      <c r="BF179" s="540"/>
      <c r="BG179" s="533"/>
      <c r="BH179" s="531"/>
      <c r="BI179" s="532"/>
      <c r="BJ179" s="533"/>
      <c r="BK179" s="533"/>
      <c r="BL179" s="533"/>
      <c r="BM179" s="533"/>
    </row>
    <row r="180" spans="4:65" s="518" customFormat="1">
      <c r="D180" s="772"/>
      <c r="E180" s="772"/>
      <c r="F180" s="522"/>
      <c r="G180" s="517"/>
      <c r="H180" s="519"/>
      <c r="I180" s="533"/>
      <c r="J180" s="533"/>
      <c r="K180" s="533"/>
      <c r="L180" s="533"/>
      <c r="M180" s="533"/>
      <c r="N180" s="533"/>
      <c r="O180" s="533"/>
      <c r="P180" s="533"/>
      <c r="Q180" s="533"/>
      <c r="R180" s="533"/>
      <c r="S180" s="533"/>
      <c r="T180" s="533"/>
      <c r="U180" s="533"/>
      <c r="V180" s="533"/>
      <c r="W180" s="533"/>
      <c r="X180" s="533"/>
      <c r="Y180" s="533"/>
      <c r="Z180" s="533"/>
      <c r="AA180" s="533"/>
      <c r="AB180" s="533"/>
      <c r="AC180" s="533"/>
      <c r="AD180" s="533"/>
      <c r="AE180" s="533"/>
      <c r="AF180" s="533"/>
      <c r="AG180" s="533"/>
      <c r="AH180" s="533"/>
      <c r="AI180" s="533"/>
      <c r="AJ180" s="533"/>
      <c r="AK180" s="533"/>
      <c r="AL180" s="533"/>
      <c r="AM180" s="533"/>
      <c r="AN180" s="533"/>
      <c r="AO180" s="533"/>
      <c r="AP180" s="533"/>
      <c r="AQ180" s="533"/>
      <c r="AR180" s="533"/>
      <c r="AS180" s="533"/>
      <c r="AT180" s="533"/>
      <c r="AU180" s="533"/>
      <c r="AV180" s="533"/>
      <c r="AW180" s="533"/>
      <c r="AX180" s="533"/>
      <c r="AY180" s="533"/>
      <c r="AZ180" s="533"/>
      <c r="BA180" s="533"/>
      <c r="BB180" s="533"/>
      <c r="BC180" s="533"/>
      <c r="BD180" s="533"/>
      <c r="BE180" s="540"/>
      <c r="BF180" s="540"/>
      <c r="BG180" s="533"/>
      <c r="BH180" s="531"/>
      <c r="BI180" s="532"/>
      <c r="BJ180" s="533"/>
      <c r="BK180" s="533"/>
      <c r="BL180" s="533"/>
      <c r="BM180" s="533"/>
    </row>
    <row r="181" spans="4:65" s="518" customFormat="1">
      <c r="D181" s="772"/>
      <c r="E181" s="772"/>
      <c r="F181" s="522"/>
      <c r="G181" s="517"/>
      <c r="H181" s="519"/>
      <c r="I181" s="533"/>
      <c r="J181" s="533"/>
      <c r="K181" s="533"/>
      <c r="L181" s="533"/>
      <c r="M181" s="533"/>
      <c r="N181" s="533"/>
      <c r="O181" s="533"/>
      <c r="P181" s="533"/>
      <c r="Q181" s="533"/>
      <c r="R181" s="533"/>
      <c r="S181" s="533"/>
      <c r="T181" s="533"/>
      <c r="U181" s="533"/>
      <c r="V181" s="533"/>
      <c r="W181" s="533"/>
      <c r="X181" s="533"/>
      <c r="Y181" s="533"/>
      <c r="Z181" s="533"/>
      <c r="AA181" s="533"/>
      <c r="AB181" s="533"/>
      <c r="AC181" s="533"/>
      <c r="AD181" s="533"/>
      <c r="AE181" s="533"/>
      <c r="AF181" s="533"/>
      <c r="AG181" s="533"/>
      <c r="AH181" s="533"/>
      <c r="AI181" s="533"/>
      <c r="AJ181" s="533"/>
      <c r="AK181" s="533"/>
      <c r="AL181" s="533"/>
      <c r="AM181" s="533"/>
      <c r="AN181" s="533"/>
      <c r="AO181" s="533"/>
      <c r="AP181" s="533"/>
      <c r="AQ181" s="533"/>
      <c r="AR181" s="533"/>
      <c r="AS181" s="533"/>
      <c r="AT181" s="533"/>
      <c r="AU181" s="533"/>
      <c r="AV181" s="533"/>
      <c r="AW181" s="533"/>
      <c r="AX181" s="533"/>
      <c r="AY181" s="533"/>
      <c r="AZ181" s="533"/>
      <c r="BA181" s="533"/>
      <c r="BB181" s="533"/>
      <c r="BC181" s="533"/>
      <c r="BD181" s="533"/>
      <c r="BE181" s="540"/>
      <c r="BF181" s="540"/>
      <c r="BG181" s="533"/>
      <c r="BH181" s="531"/>
      <c r="BI181" s="532"/>
      <c r="BJ181" s="533"/>
      <c r="BK181" s="533"/>
      <c r="BL181" s="533"/>
      <c r="BM181" s="533"/>
    </row>
    <row r="182" spans="4:65" s="518" customFormat="1">
      <c r="D182" s="772"/>
      <c r="E182" s="772"/>
      <c r="F182" s="522"/>
      <c r="G182" s="517"/>
      <c r="H182" s="519"/>
      <c r="I182" s="533"/>
      <c r="J182" s="533"/>
      <c r="K182" s="533"/>
      <c r="L182" s="533"/>
      <c r="M182" s="533"/>
      <c r="N182" s="533"/>
      <c r="O182" s="533"/>
      <c r="P182" s="533"/>
      <c r="Q182" s="533"/>
      <c r="R182" s="533"/>
      <c r="S182" s="533"/>
      <c r="T182" s="533"/>
      <c r="U182" s="533"/>
      <c r="V182" s="533"/>
      <c r="W182" s="533"/>
      <c r="X182" s="533"/>
      <c r="Y182" s="533"/>
      <c r="Z182" s="533"/>
      <c r="AA182" s="533"/>
      <c r="AB182" s="533"/>
      <c r="AC182" s="533"/>
      <c r="AD182" s="533"/>
      <c r="AE182" s="533"/>
      <c r="AF182" s="533"/>
      <c r="AG182" s="533"/>
      <c r="AH182" s="533"/>
      <c r="AI182" s="533"/>
      <c r="AJ182" s="533"/>
      <c r="AK182" s="533"/>
      <c r="AL182" s="533"/>
      <c r="AM182" s="533"/>
      <c r="AN182" s="533"/>
      <c r="AO182" s="533"/>
      <c r="AP182" s="533"/>
      <c r="AQ182" s="533"/>
      <c r="AR182" s="533"/>
      <c r="AS182" s="533"/>
      <c r="AT182" s="533"/>
      <c r="AU182" s="533"/>
      <c r="AV182" s="533"/>
      <c r="AW182" s="533"/>
      <c r="AX182" s="533"/>
      <c r="AY182" s="533"/>
      <c r="AZ182" s="533"/>
      <c r="BA182" s="533"/>
      <c r="BB182" s="533"/>
      <c r="BC182" s="533"/>
      <c r="BD182" s="533"/>
      <c r="BE182" s="540"/>
      <c r="BF182" s="540"/>
      <c r="BG182" s="533"/>
      <c r="BH182" s="531"/>
      <c r="BI182" s="532"/>
      <c r="BJ182" s="533"/>
      <c r="BK182" s="533"/>
      <c r="BL182" s="533"/>
      <c r="BM182" s="533"/>
    </row>
    <row r="183" spans="4:65" s="518" customFormat="1">
      <c r="D183" s="772"/>
      <c r="E183" s="772"/>
      <c r="F183" s="522"/>
      <c r="G183" s="517"/>
      <c r="H183" s="519"/>
      <c r="I183" s="533"/>
      <c r="J183" s="533"/>
      <c r="K183" s="533"/>
      <c r="L183" s="533"/>
      <c r="M183" s="533"/>
      <c r="N183" s="533"/>
      <c r="O183" s="533"/>
      <c r="P183" s="533"/>
      <c r="Q183" s="533"/>
      <c r="R183" s="533"/>
      <c r="S183" s="533"/>
      <c r="T183" s="533"/>
      <c r="U183" s="533"/>
      <c r="V183" s="533"/>
      <c r="W183" s="533"/>
      <c r="X183" s="533"/>
      <c r="Y183" s="533"/>
      <c r="Z183" s="533"/>
      <c r="AA183" s="533"/>
      <c r="AB183" s="533"/>
      <c r="AC183" s="533"/>
      <c r="AD183" s="533"/>
      <c r="AE183" s="533"/>
      <c r="AF183" s="533"/>
      <c r="AG183" s="533"/>
      <c r="AH183" s="533"/>
      <c r="AI183" s="533"/>
      <c r="AJ183" s="533"/>
      <c r="AK183" s="533"/>
      <c r="AL183" s="533"/>
      <c r="AM183" s="533"/>
      <c r="AN183" s="533"/>
      <c r="AO183" s="533"/>
      <c r="AP183" s="533"/>
      <c r="AQ183" s="533"/>
      <c r="AR183" s="533"/>
      <c r="AS183" s="533"/>
      <c r="AT183" s="533"/>
      <c r="AU183" s="533"/>
      <c r="AV183" s="533"/>
      <c r="AW183" s="533"/>
      <c r="AX183" s="533"/>
      <c r="AY183" s="533"/>
      <c r="AZ183" s="533"/>
      <c r="BA183" s="533"/>
      <c r="BB183" s="533"/>
      <c r="BC183" s="533"/>
      <c r="BD183" s="533"/>
      <c r="BE183" s="540"/>
      <c r="BF183" s="540"/>
      <c r="BG183" s="533"/>
      <c r="BH183" s="531"/>
      <c r="BI183" s="532"/>
      <c r="BJ183" s="533"/>
      <c r="BK183" s="533"/>
      <c r="BL183" s="533"/>
      <c r="BM183" s="533"/>
    </row>
    <row r="184" spans="4:65" s="518" customFormat="1">
      <c r="D184" s="772"/>
      <c r="E184" s="772"/>
      <c r="F184" s="522"/>
      <c r="G184" s="517"/>
      <c r="H184" s="519"/>
      <c r="I184" s="533"/>
      <c r="J184" s="533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  <c r="U184" s="533"/>
      <c r="V184" s="533"/>
      <c r="W184" s="533"/>
      <c r="X184" s="533"/>
      <c r="Y184" s="533"/>
      <c r="Z184" s="533"/>
      <c r="AA184" s="533"/>
      <c r="AB184" s="533"/>
      <c r="AC184" s="533"/>
      <c r="AD184" s="533"/>
      <c r="AE184" s="533"/>
      <c r="AF184" s="533"/>
      <c r="AG184" s="533"/>
      <c r="AH184" s="533"/>
      <c r="AI184" s="533"/>
      <c r="AJ184" s="533"/>
      <c r="AK184" s="533"/>
      <c r="AL184" s="533"/>
      <c r="AM184" s="533"/>
      <c r="AN184" s="533"/>
      <c r="AO184" s="533"/>
      <c r="AP184" s="533"/>
      <c r="AQ184" s="533"/>
      <c r="AR184" s="533"/>
      <c r="AS184" s="533"/>
      <c r="AT184" s="533"/>
      <c r="AU184" s="533"/>
      <c r="AV184" s="533"/>
      <c r="AW184" s="533"/>
      <c r="AX184" s="533"/>
      <c r="AY184" s="533"/>
      <c r="AZ184" s="533"/>
      <c r="BA184" s="533"/>
      <c r="BB184" s="533"/>
      <c r="BC184" s="533"/>
      <c r="BD184" s="533"/>
      <c r="BE184" s="540"/>
      <c r="BF184" s="540"/>
      <c r="BG184" s="533"/>
      <c r="BH184" s="531"/>
      <c r="BI184" s="532"/>
      <c r="BJ184" s="533"/>
      <c r="BK184" s="533"/>
      <c r="BL184" s="533"/>
      <c r="BM184" s="533"/>
    </row>
    <row r="185" spans="4:65" s="518" customFormat="1">
      <c r="D185" s="772"/>
      <c r="E185" s="772"/>
      <c r="F185" s="522"/>
      <c r="G185" s="517"/>
      <c r="H185" s="519"/>
      <c r="I185" s="533"/>
      <c r="J185" s="533"/>
      <c r="K185" s="533"/>
      <c r="L185" s="533"/>
      <c r="M185" s="533"/>
      <c r="N185" s="533"/>
      <c r="O185" s="533"/>
      <c r="P185" s="533"/>
      <c r="Q185" s="533"/>
      <c r="R185" s="533"/>
      <c r="S185" s="533"/>
      <c r="T185" s="533"/>
      <c r="U185" s="533"/>
      <c r="V185" s="533"/>
      <c r="W185" s="533"/>
      <c r="X185" s="533"/>
      <c r="Y185" s="533"/>
      <c r="Z185" s="533"/>
      <c r="AA185" s="533"/>
      <c r="AB185" s="533"/>
      <c r="AC185" s="533"/>
      <c r="AD185" s="533"/>
      <c r="AE185" s="533"/>
      <c r="AF185" s="533"/>
      <c r="AG185" s="533"/>
      <c r="AH185" s="533"/>
      <c r="AI185" s="533"/>
      <c r="AJ185" s="533"/>
      <c r="AK185" s="533"/>
      <c r="AL185" s="533"/>
      <c r="AM185" s="533"/>
      <c r="AN185" s="533"/>
      <c r="AO185" s="533"/>
      <c r="AP185" s="533"/>
      <c r="AQ185" s="533"/>
      <c r="AR185" s="533"/>
      <c r="AS185" s="533"/>
      <c r="AT185" s="533"/>
      <c r="AU185" s="533"/>
      <c r="AV185" s="533"/>
      <c r="AW185" s="533"/>
      <c r="AX185" s="533"/>
      <c r="AY185" s="533"/>
      <c r="AZ185" s="533"/>
      <c r="BA185" s="533"/>
      <c r="BB185" s="533"/>
      <c r="BC185" s="533"/>
      <c r="BD185" s="533"/>
      <c r="BE185" s="540"/>
      <c r="BF185" s="540"/>
      <c r="BG185" s="533"/>
      <c r="BH185" s="531"/>
      <c r="BI185" s="532"/>
      <c r="BJ185" s="533"/>
      <c r="BK185" s="533"/>
      <c r="BL185" s="533"/>
      <c r="BM185" s="533"/>
    </row>
    <row r="186" spans="4:65" s="518" customFormat="1">
      <c r="D186" s="772"/>
      <c r="E186" s="772"/>
      <c r="F186" s="522"/>
      <c r="G186" s="517"/>
      <c r="H186" s="519"/>
      <c r="I186" s="533"/>
      <c r="J186" s="533"/>
      <c r="K186" s="533"/>
      <c r="L186" s="533"/>
      <c r="M186" s="533"/>
      <c r="N186" s="533"/>
      <c r="O186" s="533"/>
      <c r="P186" s="533"/>
      <c r="Q186" s="533"/>
      <c r="R186" s="533"/>
      <c r="S186" s="533"/>
      <c r="T186" s="533"/>
      <c r="U186" s="533"/>
      <c r="V186" s="533"/>
      <c r="W186" s="533"/>
      <c r="X186" s="533"/>
      <c r="Y186" s="533"/>
      <c r="Z186" s="533"/>
      <c r="AA186" s="533"/>
      <c r="AB186" s="533"/>
      <c r="AC186" s="533"/>
      <c r="AD186" s="533"/>
      <c r="AE186" s="533"/>
      <c r="AF186" s="533"/>
      <c r="AG186" s="533"/>
      <c r="AH186" s="533"/>
      <c r="AI186" s="533"/>
      <c r="AJ186" s="533"/>
      <c r="AK186" s="533"/>
      <c r="AL186" s="533"/>
      <c r="AM186" s="533"/>
      <c r="AN186" s="533"/>
      <c r="AO186" s="533"/>
      <c r="AP186" s="533"/>
      <c r="AQ186" s="533"/>
      <c r="AR186" s="533"/>
      <c r="AS186" s="533"/>
      <c r="AT186" s="533"/>
      <c r="AU186" s="533"/>
      <c r="AV186" s="533"/>
      <c r="AW186" s="533"/>
      <c r="AX186" s="533"/>
      <c r="AY186" s="533"/>
      <c r="AZ186" s="533"/>
      <c r="BA186" s="533"/>
      <c r="BB186" s="533"/>
      <c r="BC186" s="533"/>
      <c r="BD186" s="533"/>
      <c r="BE186" s="540"/>
      <c r="BF186" s="540"/>
      <c r="BG186" s="533"/>
      <c r="BH186" s="531"/>
      <c r="BI186" s="532"/>
      <c r="BJ186" s="533"/>
      <c r="BK186" s="533"/>
      <c r="BL186" s="533"/>
      <c r="BM186" s="533"/>
    </row>
    <row r="187" spans="4:65" s="518" customFormat="1">
      <c r="D187" s="772"/>
      <c r="E187" s="772"/>
      <c r="F187" s="522"/>
      <c r="G187" s="517"/>
      <c r="H187" s="519"/>
      <c r="I187" s="533"/>
      <c r="J187" s="533"/>
      <c r="K187" s="533"/>
      <c r="L187" s="533"/>
      <c r="M187" s="533"/>
      <c r="N187" s="533"/>
      <c r="O187" s="533"/>
      <c r="P187" s="533"/>
      <c r="Q187" s="533"/>
      <c r="R187" s="533"/>
      <c r="S187" s="533"/>
      <c r="T187" s="533"/>
      <c r="U187" s="533"/>
      <c r="V187" s="533"/>
      <c r="W187" s="533"/>
      <c r="X187" s="533"/>
      <c r="Y187" s="533"/>
      <c r="Z187" s="533"/>
      <c r="AA187" s="533"/>
      <c r="AB187" s="533"/>
      <c r="AC187" s="533"/>
      <c r="AD187" s="533"/>
      <c r="AE187" s="533"/>
      <c r="AF187" s="533"/>
      <c r="AG187" s="533"/>
      <c r="AH187" s="533"/>
      <c r="AI187" s="533"/>
      <c r="AJ187" s="533"/>
      <c r="AK187" s="533"/>
      <c r="AL187" s="533"/>
      <c r="AM187" s="533"/>
      <c r="AN187" s="533"/>
      <c r="AO187" s="533"/>
      <c r="AP187" s="533"/>
      <c r="AQ187" s="533"/>
      <c r="AR187" s="533"/>
      <c r="AS187" s="533"/>
      <c r="AT187" s="533"/>
      <c r="AU187" s="533"/>
      <c r="AV187" s="533"/>
      <c r="AW187" s="533"/>
      <c r="AX187" s="533"/>
      <c r="AY187" s="533"/>
      <c r="AZ187" s="533"/>
      <c r="BA187" s="533"/>
      <c r="BB187" s="533"/>
      <c r="BC187" s="533"/>
      <c r="BD187" s="533"/>
      <c r="BE187" s="540"/>
      <c r="BF187" s="540"/>
      <c r="BG187" s="533"/>
      <c r="BH187" s="531"/>
      <c r="BI187" s="532"/>
      <c r="BJ187" s="533"/>
      <c r="BK187" s="533"/>
      <c r="BL187" s="533"/>
      <c r="BM187" s="533"/>
    </row>
    <row r="188" spans="4:65" s="518" customFormat="1">
      <c r="D188" s="772"/>
      <c r="E188" s="772"/>
      <c r="F188" s="522"/>
      <c r="G188" s="517"/>
      <c r="H188" s="519"/>
      <c r="I188" s="533"/>
      <c r="J188" s="533"/>
      <c r="K188" s="533"/>
      <c r="L188" s="533"/>
      <c r="M188" s="533"/>
      <c r="N188" s="533"/>
      <c r="O188" s="533"/>
      <c r="P188" s="533"/>
      <c r="Q188" s="533"/>
      <c r="R188" s="533"/>
      <c r="S188" s="533"/>
      <c r="T188" s="533"/>
      <c r="U188" s="533"/>
      <c r="V188" s="533"/>
      <c r="W188" s="533"/>
      <c r="X188" s="533"/>
      <c r="Y188" s="533"/>
      <c r="Z188" s="533"/>
      <c r="AA188" s="533"/>
      <c r="AB188" s="533"/>
      <c r="AC188" s="533"/>
      <c r="AD188" s="533"/>
      <c r="AE188" s="533"/>
      <c r="AF188" s="533"/>
      <c r="AG188" s="533"/>
      <c r="AH188" s="533"/>
      <c r="AI188" s="533"/>
      <c r="AJ188" s="533"/>
      <c r="AK188" s="533"/>
      <c r="AL188" s="533"/>
      <c r="AM188" s="533"/>
      <c r="AN188" s="533"/>
      <c r="AO188" s="533"/>
      <c r="AP188" s="533"/>
      <c r="AQ188" s="533"/>
      <c r="AR188" s="533"/>
      <c r="AS188" s="533"/>
      <c r="AT188" s="533"/>
      <c r="AU188" s="533"/>
      <c r="AV188" s="533"/>
      <c r="AW188" s="533"/>
      <c r="AX188" s="533"/>
      <c r="AY188" s="533"/>
      <c r="AZ188" s="533"/>
      <c r="BA188" s="533"/>
      <c r="BB188" s="533"/>
      <c r="BC188" s="533"/>
      <c r="BD188" s="533"/>
      <c r="BE188" s="540"/>
      <c r="BF188" s="540"/>
      <c r="BG188" s="533"/>
      <c r="BH188" s="531"/>
      <c r="BI188" s="532"/>
      <c r="BJ188" s="533"/>
      <c r="BK188" s="533"/>
      <c r="BL188" s="533"/>
      <c r="BM188" s="533"/>
    </row>
    <row r="189" spans="4:65" s="518" customFormat="1">
      <c r="D189" s="772"/>
      <c r="E189" s="772"/>
      <c r="F189" s="522"/>
      <c r="G189" s="517"/>
      <c r="H189" s="519"/>
      <c r="I189" s="533"/>
      <c r="J189" s="533"/>
      <c r="K189" s="533"/>
      <c r="L189" s="533"/>
      <c r="M189" s="533"/>
      <c r="N189" s="533"/>
      <c r="O189" s="533"/>
      <c r="P189" s="533"/>
      <c r="Q189" s="533"/>
      <c r="R189" s="533"/>
      <c r="S189" s="533"/>
      <c r="T189" s="533"/>
      <c r="U189" s="533"/>
      <c r="V189" s="533"/>
      <c r="W189" s="533"/>
      <c r="X189" s="533"/>
      <c r="Y189" s="533"/>
      <c r="Z189" s="533"/>
      <c r="AA189" s="533"/>
      <c r="AB189" s="533"/>
      <c r="AC189" s="533"/>
      <c r="AD189" s="533"/>
      <c r="AE189" s="533"/>
      <c r="AF189" s="533"/>
      <c r="AG189" s="533"/>
      <c r="AH189" s="533"/>
      <c r="AI189" s="533"/>
      <c r="AJ189" s="533"/>
      <c r="AK189" s="533"/>
      <c r="AL189" s="533"/>
      <c r="AM189" s="533"/>
      <c r="AN189" s="533"/>
      <c r="AO189" s="533"/>
      <c r="AP189" s="533"/>
      <c r="AQ189" s="533"/>
      <c r="AR189" s="533"/>
      <c r="AS189" s="533"/>
      <c r="AT189" s="533"/>
      <c r="AU189" s="533"/>
      <c r="AV189" s="533"/>
      <c r="AW189" s="533"/>
      <c r="AX189" s="533"/>
      <c r="AY189" s="533"/>
      <c r="AZ189" s="533"/>
      <c r="BA189" s="533"/>
      <c r="BB189" s="533"/>
      <c r="BC189" s="533"/>
      <c r="BD189" s="533"/>
      <c r="BE189" s="540"/>
      <c r="BF189" s="540"/>
      <c r="BG189" s="533"/>
      <c r="BH189" s="531"/>
      <c r="BI189" s="532"/>
      <c r="BJ189" s="533"/>
      <c r="BK189" s="533"/>
      <c r="BL189" s="533"/>
      <c r="BM189" s="533"/>
    </row>
    <row r="190" spans="4:65" s="518" customFormat="1">
      <c r="D190" s="772"/>
      <c r="E190" s="772"/>
      <c r="F190" s="522"/>
      <c r="G190" s="517"/>
      <c r="H190" s="519"/>
      <c r="I190" s="533"/>
      <c r="J190" s="533"/>
      <c r="K190" s="533"/>
      <c r="L190" s="533"/>
      <c r="M190" s="533"/>
      <c r="N190" s="533"/>
      <c r="O190" s="533"/>
      <c r="P190" s="533"/>
      <c r="Q190" s="533"/>
      <c r="R190" s="533"/>
      <c r="S190" s="533"/>
      <c r="T190" s="533"/>
      <c r="U190" s="533"/>
      <c r="V190" s="533"/>
      <c r="W190" s="533"/>
      <c r="X190" s="533"/>
      <c r="Y190" s="533"/>
      <c r="Z190" s="533"/>
      <c r="AA190" s="533"/>
      <c r="AB190" s="533"/>
      <c r="AC190" s="533"/>
      <c r="AD190" s="533"/>
      <c r="AE190" s="533"/>
      <c r="AF190" s="533"/>
      <c r="AG190" s="533"/>
      <c r="AH190" s="533"/>
      <c r="AI190" s="533"/>
      <c r="AJ190" s="533"/>
      <c r="AK190" s="533"/>
      <c r="AL190" s="533"/>
      <c r="AM190" s="533"/>
      <c r="AN190" s="533"/>
      <c r="AO190" s="533"/>
      <c r="AP190" s="533"/>
      <c r="AQ190" s="533"/>
      <c r="AR190" s="533"/>
      <c r="AS190" s="533"/>
      <c r="AT190" s="533"/>
      <c r="AU190" s="533"/>
      <c r="AV190" s="533"/>
      <c r="AW190" s="533"/>
      <c r="AX190" s="533"/>
      <c r="AY190" s="533"/>
      <c r="AZ190" s="533"/>
      <c r="BA190" s="533"/>
      <c r="BB190" s="533"/>
      <c r="BC190" s="533"/>
      <c r="BD190" s="533"/>
      <c r="BE190" s="540"/>
      <c r="BF190" s="540"/>
      <c r="BG190" s="533"/>
      <c r="BH190" s="531"/>
      <c r="BI190" s="532"/>
      <c r="BJ190" s="533"/>
      <c r="BK190" s="533"/>
      <c r="BL190" s="533"/>
      <c r="BM190" s="533"/>
    </row>
    <row r="191" spans="4:65" s="518" customFormat="1">
      <c r="D191" s="772"/>
      <c r="E191" s="772"/>
      <c r="F191" s="522"/>
      <c r="G191" s="517"/>
      <c r="H191" s="519"/>
      <c r="I191" s="533"/>
      <c r="J191" s="533"/>
      <c r="K191" s="533"/>
      <c r="L191" s="533"/>
      <c r="M191" s="533"/>
      <c r="N191" s="533"/>
      <c r="O191" s="533"/>
      <c r="P191" s="533"/>
      <c r="Q191" s="533"/>
      <c r="R191" s="533"/>
      <c r="S191" s="533"/>
      <c r="T191" s="533"/>
      <c r="U191" s="533"/>
      <c r="V191" s="533"/>
      <c r="W191" s="533"/>
      <c r="X191" s="533"/>
      <c r="Y191" s="533"/>
      <c r="Z191" s="533"/>
      <c r="AA191" s="533"/>
      <c r="AB191" s="533"/>
      <c r="AC191" s="533"/>
      <c r="AD191" s="533"/>
      <c r="AE191" s="533"/>
      <c r="AF191" s="533"/>
      <c r="AG191" s="533"/>
      <c r="AH191" s="533"/>
      <c r="AI191" s="533"/>
      <c r="AJ191" s="533"/>
      <c r="AK191" s="533"/>
      <c r="AL191" s="533"/>
      <c r="AM191" s="533"/>
      <c r="AN191" s="533"/>
      <c r="AO191" s="533"/>
      <c r="AP191" s="533"/>
      <c r="AQ191" s="533"/>
      <c r="AR191" s="533"/>
      <c r="AS191" s="533"/>
      <c r="AT191" s="533"/>
      <c r="AU191" s="533"/>
      <c r="AV191" s="533"/>
      <c r="AW191" s="533"/>
      <c r="AX191" s="533"/>
      <c r="AY191" s="533"/>
      <c r="AZ191" s="533"/>
      <c r="BA191" s="533"/>
      <c r="BB191" s="533"/>
      <c r="BC191" s="533"/>
      <c r="BD191" s="533"/>
      <c r="BE191" s="540"/>
      <c r="BF191" s="540"/>
      <c r="BG191" s="533"/>
      <c r="BH191" s="531"/>
      <c r="BI191" s="532"/>
      <c r="BJ191" s="533"/>
      <c r="BK191" s="533"/>
      <c r="BL191" s="533"/>
      <c r="BM191" s="533"/>
    </row>
    <row r="192" spans="4:65" s="518" customFormat="1">
      <c r="D192" s="772"/>
      <c r="E192" s="772"/>
      <c r="F192" s="522"/>
      <c r="G192" s="517"/>
      <c r="H192" s="519"/>
      <c r="I192" s="533"/>
      <c r="J192" s="533"/>
      <c r="K192" s="533"/>
      <c r="L192" s="533"/>
      <c r="M192" s="533"/>
      <c r="N192" s="533"/>
      <c r="O192" s="533"/>
      <c r="P192" s="533"/>
      <c r="Q192" s="533"/>
      <c r="R192" s="533"/>
      <c r="S192" s="533"/>
      <c r="T192" s="533"/>
      <c r="U192" s="533"/>
      <c r="V192" s="533"/>
      <c r="W192" s="533"/>
      <c r="X192" s="533"/>
      <c r="Y192" s="533"/>
      <c r="Z192" s="533"/>
      <c r="AA192" s="533"/>
      <c r="AB192" s="533"/>
      <c r="AC192" s="533"/>
      <c r="AD192" s="533"/>
      <c r="AE192" s="533"/>
      <c r="AF192" s="533"/>
      <c r="AG192" s="533"/>
      <c r="AH192" s="533"/>
      <c r="AI192" s="533"/>
      <c r="AJ192" s="533"/>
      <c r="AK192" s="533"/>
      <c r="AL192" s="533"/>
      <c r="AM192" s="533"/>
      <c r="AN192" s="533"/>
      <c r="AO192" s="533"/>
      <c r="AP192" s="533"/>
      <c r="AQ192" s="533"/>
      <c r="AR192" s="533"/>
      <c r="AS192" s="533"/>
      <c r="AT192" s="533"/>
      <c r="AU192" s="533"/>
      <c r="AV192" s="533"/>
      <c r="AW192" s="533"/>
      <c r="AX192" s="533"/>
      <c r="AY192" s="533"/>
      <c r="AZ192" s="533"/>
      <c r="BA192" s="533"/>
      <c r="BB192" s="533"/>
      <c r="BC192" s="533"/>
      <c r="BD192" s="533"/>
      <c r="BE192" s="540"/>
      <c r="BF192" s="540"/>
      <c r="BG192" s="533"/>
      <c r="BH192" s="531"/>
      <c r="BI192" s="532"/>
      <c r="BJ192" s="533"/>
      <c r="BK192" s="533"/>
      <c r="BL192" s="533"/>
      <c r="BM192" s="533"/>
    </row>
    <row r="193" spans="4:65" s="518" customFormat="1">
      <c r="D193" s="772"/>
      <c r="E193" s="772"/>
      <c r="F193" s="522"/>
      <c r="G193" s="517"/>
      <c r="H193" s="519"/>
      <c r="I193" s="533"/>
      <c r="J193" s="533"/>
      <c r="K193" s="533"/>
      <c r="L193" s="533"/>
      <c r="M193" s="533"/>
      <c r="N193" s="533"/>
      <c r="O193" s="533"/>
      <c r="P193" s="533"/>
      <c r="Q193" s="533"/>
      <c r="R193" s="533"/>
      <c r="S193" s="533"/>
      <c r="T193" s="533"/>
      <c r="U193" s="533"/>
      <c r="V193" s="533"/>
      <c r="W193" s="533"/>
      <c r="X193" s="533"/>
      <c r="Y193" s="533"/>
      <c r="Z193" s="533"/>
      <c r="AA193" s="533"/>
      <c r="AB193" s="533"/>
      <c r="AC193" s="533"/>
      <c r="AD193" s="533"/>
      <c r="AE193" s="533"/>
      <c r="AF193" s="533"/>
      <c r="AG193" s="533"/>
      <c r="AH193" s="533"/>
      <c r="AI193" s="533"/>
      <c r="AJ193" s="533"/>
      <c r="AK193" s="533"/>
      <c r="AL193" s="533"/>
      <c r="AM193" s="533"/>
      <c r="AN193" s="533"/>
      <c r="AO193" s="533"/>
      <c r="AP193" s="533"/>
      <c r="AQ193" s="533"/>
      <c r="AR193" s="533"/>
      <c r="AS193" s="533"/>
      <c r="AT193" s="533"/>
      <c r="AU193" s="533"/>
      <c r="AV193" s="533"/>
      <c r="AW193" s="533"/>
      <c r="AX193" s="533"/>
      <c r="AY193" s="533"/>
      <c r="AZ193" s="533"/>
      <c r="BA193" s="533"/>
      <c r="BB193" s="533"/>
      <c r="BC193" s="533"/>
      <c r="BD193" s="533"/>
      <c r="BE193" s="540"/>
      <c r="BF193" s="540"/>
      <c r="BG193" s="533"/>
      <c r="BH193" s="531"/>
      <c r="BI193" s="532"/>
      <c r="BJ193" s="533"/>
      <c r="BK193" s="533"/>
      <c r="BL193" s="533"/>
      <c r="BM193" s="533"/>
    </row>
    <row r="194" spans="4:65" s="518" customFormat="1">
      <c r="D194" s="772"/>
      <c r="E194" s="772"/>
      <c r="F194" s="522"/>
      <c r="G194" s="517"/>
      <c r="H194" s="519"/>
      <c r="I194" s="533"/>
      <c r="J194" s="533"/>
      <c r="K194" s="533"/>
      <c r="L194" s="533"/>
      <c r="M194" s="533"/>
      <c r="N194" s="533"/>
      <c r="O194" s="533"/>
      <c r="P194" s="533"/>
      <c r="Q194" s="533"/>
      <c r="R194" s="533"/>
      <c r="S194" s="533"/>
      <c r="T194" s="533"/>
      <c r="U194" s="533"/>
      <c r="V194" s="533"/>
      <c r="W194" s="533"/>
      <c r="X194" s="533"/>
      <c r="Y194" s="533"/>
      <c r="Z194" s="533"/>
      <c r="AA194" s="533"/>
      <c r="AB194" s="533"/>
      <c r="AC194" s="533"/>
      <c r="AD194" s="533"/>
      <c r="AE194" s="533"/>
      <c r="AF194" s="533"/>
      <c r="AG194" s="533"/>
      <c r="AH194" s="533"/>
      <c r="AI194" s="533"/>
      <c r="AJ194" s="533"/>
      <c r="AK194" s="533"/>
      <c r="AL194" s="533"/>
      <c r="AM194" s="533"/>
      <c r="AN194" s="533"/>
      <c r="AO194" s="533"/>
      <c r="AP194" s="533"/>
      <c r="AQ194" s="533"/>
      <c r="AR194" s="533"/>
      <c r="AS194" s="533"/>
      <c r="AT194" s="533"/>
      <c r="AU194" s="533"/>
      <c r="AV194" s="533"/>
      <c r="AW194" s="533"/>
      <c r="AX194" s="533"/>
      <c r="AY194" s="533"/>
      <c r="AZ194" s="533"/>
      <c r="BA194" s="533"/>
      <c r="BB194" s="533"/>
      <c r="BC194" s="533"/>
      <c r="BD194" s="533"/>
      <c r="BE194" s="540"/>
      <c r="BF194" s="540"/>
      <c r="BG194" s="533"/>
      <c r="BH194" s="531"/>
      <c r="BI194" s="532"/>
      <c r="BJ194" s="533"/>
      <c r="BK194" s="533"/>
      <c r="BL194" s="533"/>
      <c r="BM194" s="533"/>
    </row>
    <row r="195" spans="4:65" s="518" customFormat="1">
      <c r="D195" s="772"/>
      <c r="E195" s="772"/>
      <c r="F195" s="522"/>
      <c r="G195" s="517"/>
      <c r="H195" s="519"/>
      <c r="I195" s="533"/>
      <c r="J195" s="533"/>
      <c r="K195" s="533"/>
      <c r="L195" s="533"/>
      <c r="M195" s="533"/>
      <c r="N195" s="533"/>
      <c r="O195" s="533"/>
      <c r="P195" s="533"/>
      <c r="Q195" s="533"/>
      <c r="R195" s="533"/>
      <c r="S195" s="533"/>
      <c r="T195" s="533"/>
      <c r="U195" s="533"/>
      <c r="V195" s="533"/>
      <c r="W195" s="533"/>
      <c r="X195" s="533"/>
      <c r="Y195" s="533"/>
      <c r="Z195" s="533"/>
      <c r="AA195" s="533"/>
      <c r="AB195" s="533"/>
      <c r="AC195" s="533"/>
      <c r="AD195" s="533"/>
      <c r="AE195" s="533"/>
      <c r="AF195" s="533"/>
      <c r="AG195" s="533"/>
      <c r="AH195" s="533"/>
      <c r="AI195" s="533"/>
      <c r="AJ195" s="533"/>
      <c r="AK195" s="533"/>
      <c r="AL195" s="533"/>
      <c r="AM195" s="533"/>
      <c r="AN195" s="533"/>
      <c r="AO195" s="533"/>
      <c r="AP195" s="533"/>
      <c r="AQ195" s="533"/>
      <c r="AR195" s="533"/>
      <c r="AS195" s="533"/>
      <c r="AT195" s="533"/>
      <c r="AU195" s="533"/>
      <c r="AV195" s="533"/>
      <c r="AW195" s="533"/>
      <c r="AX195" s="533"/>
      <c r="AY195" s="533"/>
      <c r="AZ195" s="533"/>
      <c r="BA195" s="533"/>
      <c r="BB195" s="533"/>
      <c r="BC195" s="533"/>
      <c r="BD195" s="533"/>
      <c r="BE195" s="540"/>
      <c r="BF195" s="540"/>
      <c r="BG195" s="533"/>
      <c r="BH195" s="531"/>
      <c r="BI195" s="532"/>
      <c r="BJ195" s="533"/>
      <c r="BK195" s="533"/>
      <c r="BL195" s="533"/>
      <c r="BM195" s="533"/>
    </row>
    <row r="196" spans="4:65" s="518" customFormat="1">
      <c r="D196" s="772"/>
      <c r="E196" s="772"/>
      <c r="F196" s="522"/>
      <c r="G196" s="517"/>
      <c r="H196" s="519"/>
      <c r="I196" s="533"/>
      <c r="J196" s="533"/>
      <c r="K196" s="533"/>
      <c r="L196" s="533"/>
      <c r="M196" s="533"/>
      <c r="N196" s="533"/>
      <c r="O196" s="533"/>
      <c r="P196" s="533"/>
      <c r="Q196" s="533"/>
      <c r="R196" s="533"/>
      <c r="S196" s="533"/>
      <c r="T196" s="533"/>
      <c r="U196" s="533"/>
      <c r="V196" s="533"/>
      <c r="W196" s="533"/>
      <c r="X196" s="533"/>
      <c r="Y196" s="533"/>
      <c r="Z196" s="533"/>
      <c r="AA196" s="533"/>
      <c r="AB196" s="533"/>
      <c r="AC196" s="533"/>
      <c r="AD196" s="533"/>
      <c r="AE196" s="533"/>
      <c r="AF196" s="533"/>
      <c r="AG196" s="533"/>
      <c r="AH196" s="533"/>
      <c r="AI196" s="533"/>
      <c r="AJ196" s="533"/>
      <c r="AK196" s="533"/>
      <c r="AL196" s="533"/>
      <c r="AM196" s="533"/>
      <c r="AN196" s="533"/>
      <c r="AO196" s="533"/>
      <c r="AP196" s="533"/>
      <c r="AQ196" s="533"/>
      <c r="AR196" s="533"/>
      <c r="AS196" s="533"/>
      <c r="AT196" s="533"/>
      <c r="AU196" s="533"/>
      <c r="AV196" s="533"/>
      <c r="AW196" s="533"/>
      <c r="AX196" s="533"/>
      <c r="AY196" s="533"/>
      <c r="AZ196" s="533"/>
      <c r="BA196" s="533"/>
      <c r="BB196" s="533"/>
      <c r="BC196" s="533"/>
      <c r="BD196" s="533"/>
      <c r="BE196" s="540"/>
      <c r="BF196" s="540"/>
      <c r="BG196" s="533"/>
      <c r="BH196" s="531"/>
      <c r="BI196" s="532"/>
      <c r="BJ196" s="533"/>
      <c r="BK196" s="533"/>
      <c r="BL196" s="533"/>
      <c r="BM196" s="533"/>
    </row>
    <row r="197" spans="4:65" s="518" customFormat="1">
      <c r="D197" s="772"/>
      <c r="E197" s="772"/>
      <c r="F197" s="522"/>
      <c r="G197" s="517"/>
      <c r="H197" s="519"/>
      <c r="I197" s="533"/>
      <c r="J197" s="533"/>
      <c r="K197" s="533"/>
      <c r="L197" s="533"/>
      <c r="M197" s="533"/>
      <c r="N197" s="533"/>
      <c r="O197" s="533"/>
      <c r="P197" s="533"/>
      <c r="Q197" s="533"/>
      <c r="R197" s="533"/>
      <c r="S197" s="533"/>
      <c r="T197" s="533"/>
      <c r="U197" s="533"/>
      <c r="V197" s="533"/>
      <c r="W197" s="533"/>
      <c r="X197" s="533"/>
      <c r="Y197" s="533"/>
      <c r="Z197" s="533"/>
      <c r="AA197" s="533"/>
      <c r="AB197" s="533"/>
      <c r="AC197" s="533"/>
      <c r="AD197" s="533"/>
      <c r="AE197" s="533"/>
      <c r="AF197" s="533"/>
      <c r="AG197" s="533"/>
      <c r="AH197" s="533"/>
      <c r="AI197" s="533"/>
      <c r="AJ197" s="533"/>
      <c r="AK197" s="533"/>
      <c r="AL197" s="533"/>
      <c r="AM197" s="533"/>
      <c r="AN197" s="533"/>
      <c r="AO197" s="533"/>
      <c r="AP197" s="533"/>
      <c r="AQ197" s="533"/>
      <c r="AR197" s="533"/>
      <c r="AS197" s="533"/>
      <c r="AT197" s="533"/>
      <c r="AU197" s="533"/>
      <c r="AV197" s="533"/>
      <c r="AW197" s="533"/>
      <c r="AX197" s="533"/>
      <c r="AY197" s="533"/>
      <c r="AZ197" s="533"/>
      <c r="BA197" s="533"/>
      <c r="BB197" s="533"/>
      <c r="BC197" s="533"/>
      <c r="BD197" s="533"/>
      <c r="BE197" s="540"/>
      <c r="BF197" s="540"/>
      <c r="BG197" s="533"/>
      <c r="BH197" s="531"/>
      <c r="BI197" s="532"/>
      <c r="BJ197" s="533"/>
      <c r="BK197" s="533"/>
      <c r="BL197" s="533"/>
      <c r="BM197" s="533"/>
    </row>
    <row r="198" spans="4:65" s="518" customFormat="1">
      <c r="D198" s="772"/>
      <c r="E198" s="772"/>
      <c r="F198" s="522"/>
      <c r="G198" s="517"/>
      <c r="H198" s="519"/>
      <c r="I198" s="533"/>
      <c r="J198" s="533"/>
      <c r="K198" s="533"/>
      <c r="L198" s="533"/>
      <c r="M198" s="533"/>
      <c r="N198" s="533"/>
      <c r="O198" s="533"/>
      <c r="P198" s="533"/>
      <c r="Q198" s="533"/>
      <c r="R198" s="533"/>
      <c r="S198" s="533"/>
      <c r="T198" s="533"/>
      <c r="U198" s="533"/>
      <c r="V198" s="533"/>
      <c r="W198" s="533"/>
      <c r="X198" s="533"/>
      <c r="Y198" s="533"/>
      <c r="Z198" s="533"/>
      <c r="AA198" s="533"/>
      <c r="AB198" s="533"/>
      <c r="AC198" s="533"/>
      <c r="AD198" s="533"/>
      <c r="AE198" s="533"/>
      <c r="AF198" s="533"/>
      <c r="AG198" s="533"/>
      <c r="AH198" s="533"/>
      <c r="AI198" s="533"/>
      <c r="AJ198" s="533"/>
      <c r="AK198" s="533"/>
      <c r="AL198" s="533"/>
      <c r="AM198" s="533"/>
      <c r="AN198" s="533"/>
      <c r="AO198" s="533"/>
      <c r="AP198" s="533"/>
      <c r="AQ198" s="533"/>
      <c r="AR198" s="533"/>
      <c r="AS198" s="533"/>
      <c r="AT198" s="533"/>
      <c r="AU198" s="533"/>
      <c r="AV198" s="533"/>
      <c r="AW198" s="533"/>
      <c r="AX198" s="533"/>
      <c r="AY198" s="533"/>
      <c r="AZ198" s="533"/>
      <c r="BA198" s="533"/>
      <c r="BB198" s="533"/>
      <c r="BC198" s="533"/>
      <c r="BD198" s="533"/>
      <c r="BE198" s="540"/>
      <c r="BF198" s="540"/>
      <c r="BG198" s="533"/>
      <c r="BH198" s="531"/>
      <c r="BI198" s="532"/>
      <c r="BJ198" s="533"/>
      <c r="BK198" s="533"/>
      <c r="BL198" s="533"/>
      <c r="BM198" s="533"/>
    </row>
    <row r="199" spans="4:65" s="518" customFormat="1">
      <c r="D199" s="772"/>
      <c r="E199" s="772"/>
      <c r="F199" s="522"/>
      <c r="G199" s="517"/>
      <c r="H199" s="519"/>
      <c r="I199" s="533"/>
      <c r="J199" s="533"/>
      <c r="K199" s="533"/>
      <c r="L199" s="533"/>
      <c r="M199" s="533"/>
      <c r="N199" s="533"/>
      <c r="O199" s="533"/>
      <c r="P199" s="533"/>
      <c r="Q199" s="533"/>
      <c r="R199" s="533"/>
      <c r="S199" s="533"/>
      <c r="T199" s="533"/>
      <c r="U199" s="533"/>
      <c r="V199" s="533"/>
      <c r="W199" s="533"/>
      <c r="X199" s="533"/>
      <c r="Y199" s="533"/>
      <c r="Z199" s="533"/>
      <c r="AA199" s="533"/>
      <c r="AB199" s="533"/>
      <c r="AC199" s="533"/>
      <c r="AD199" s="533"/>
      <c r="AE199" s="533"/>
      <c r="AF199" s="533"/>
      <c r="AG199" s="533"/>
      <c r="AH199" s="533"/>
      <c r="AI199" s="533"/>
      <c r="AJ199" s="533"/>
      <c r="AK199" s="533"/>
      <c r="AL199" s="533"/>
      <c r="AM199" s="533"/>
      <c r="AN199" s="533"/>
      <c r="AO199" s="533"/>
      <c r="AP199" s="533"/>
      <c r="AQ199" s="533"/>
      <c r="AR199" s="533"/>
      <c r="AS199" s="533"/>
      <c r="AT199" s="533"/>
      <c r="AU199" s="533"/>
      <c r="AV199" s="533"/>
      <c r="AW199" s="533"/>
      <c r="AX199" s="533"/>
      <c r="AY199" s="533"/>
      <c r="AZ199" s="533"/>
      <c r="BA199" s="533"/>
      <c r="BB199" s="533"/>
      <c r="BC199" s="533"/>
      <c r="BD199" s="533"/>
      <c r="BE199" s="540"/>
      <c r="BF199" s="540"/>
      <c r="BG199" s="533"/>
      <c r="BH199" s="531"/>
      <c r="BI199" s="532"/>
      <c r="BJ199" s="533"/>
      <c r="BK199" s="533"/>
      <c r="BL199" s="533"/>
      <c r="BM199" s="533"/>
    </row>
    <row r="200" spans="4:65" s="518" customFormat="1">
      <c r="D200" s="772"/>
      <c r="E200" s="772"/>
      <c r="F200" s="522"/>
      <c r="G200" s="517"/>
      <c r="H200" s="519"/>
      <c r="I200" s="533"/>
      <c r="J200" s="533"/>
      <c r="K200" s="533"/>
      <c r="L200" s="533"/>
      <c r="M200" s="533"/>
      <c r="N200" s="533"/>
      <c r="O200" s="533"/>
      <c r="P200" s="533"/>
      <c r="Q200" s="533"/>
      <c r="R200" s="533"/>
      <c r="S200" s="533"/>
      <c r="T200" s="533"/>
      <c r="U200" s="533"/>
      <c r="V200" s="533"/>
      <c r="W200" s="533"/>
      <c r="X200" s="533"/>
      <c r="Y200" s="533"/>
      <c r="Z200" s="533"/>
      <c r="AA200" s="533"/>
      <c r="AB200" s="533"/>
      <c r="AC200" s="533"/>
      <c r="AD200" s="533"/>
      <c r="AE200" s="533"/>
      <c r="AF200" s="533"/>
      <c r="AG200" s="533"/>
      <c r="AH200" s="533"/>
      <c r="AI200" s="533"/>
      <c r="AJ200" s="533"/>
      <c r="AK200" s="533"/>
      <c r="AL200" s="533"/>
      <c r="AM200" s="533"/>
      <c r="AN200" s="533"/>
      <c r="AO200" s="533"/>
      <c r="AP200" s="533"/>
      <c r="AQ200" s="533"/>
      <c r="AR200" s="533"/>
      <c r="AS200" s="533"/>
      <c r="AT200" s="533"/>
      <c r="AU200" s="533"/>
      <c r="AV200" s="533"/>
      <c r="AW200" s="533"/>
      <c r="AX200" s="533"/>
      <c r="AY200" s="533"/>
      <c r="AZ200" s="533"/>
      <c r="BA200" s="533"/>
      <c r="BB200" s="533"/>
      <c r="BC200" s="533"/>
      <c r="BD200" s="533"/>
      <c r="BE200" s="540"/>
      <c r="BF200" s="540"/>
      <c r="BG200" s="533"/>
      <c r="BH200" s="531"/>
      <c r="BI200" s="532"/>
      <c r="BJ200" s="533"/>
      <c r="BK200" s="533"/>
      <c r="BL200" s="533"/>
      <c r="BM200" s="533"/>
    </row>
    <row r="201" spans="4:65" s="518" customFormat="1">
      <c r="D201" s="772"/>
      <c r="E201" s="772"/>
      <c r="F201" s="522"/>
      <c r="G201" s="517"/>
      <c r="H201" s="519"/>
      <c r="I201" s="533"/>
      <c r="J201" s="533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  <c r="U201" s="533"/>
      <c r="V201" s="533"/>
      <c r="W201" s="533"/>
      <c r="X201" s="533"/>
      <c r="Y201" s="533"/>
      <c r="Z201" s="533"/>
      <c r="AA201" s="533"/>
      <c r="AB201" s="533"/>
      <c r="AC201" s="533"/>
      <c r="AD201" s="533"/>
      <c r="AE201" s="533"/>
      <c r="AF201" s="533"/>
      <c r="AG201" s="533"/>
      <c r="AH201" s="533"/>
      <c r="AI201" s="533"/>
      <c r="AJ201" s="533"/>
      <c r="AK201" s="533"/>
      <c r="AL201" s="533"/>
      <c r="AM201" s="533"/>
      <c r="AN201" s="533"/>
      <c r="AO201" s="533"/>
      <c r="AP201" s="533"/>
      <c r="AQ201" s="533"/>
      <c r="AR201" s="533"/>
      <c r="AS201" s="533"/>
      <c r="AT201" s="533"/>
      <c r="AU201" s="533"/>
      <c r="AV201" s="533"/>
      <c r="AW201" s="533"/>
      <c r="AX201" s="533"/>
      <c r="AY201" s="533"/>
      <c r="AZ201" s="533"/>
      <c r="BA201" s="533"/>
      <c r="BB201" s="533"/>
      <c r="BC201" s="533"/>
      <c r="BD201" s="533"/>
      <c r="BE201" s="540"/>
      <c r="BF201" s="540"/>
      <c r="BG201" s="533"/>
      <c r="BH201" s="531"/>
      <c r="BI201" s="532"/>
      <c r="BJ201" s="533"/>
      <c r="BK201" s="533"/>
      <c r="BL201" s="533"/>
      <c r="BM201" s="533"/>
    </row>
    <row r="202" spans="4:65" s="518" customFormat="1">
      <c r="D202" s="772"/>
      <c r="E202" s="772"/>
      <c r="F202" s="522"/>
      <c r="G202" s="517"/>
      <c r="H202" s="519"/>
      <c r="I202" s="533"/>
      <c r="J202" s="533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  <c r="AA202" s="533"/>
      <c r="AB202" s="533"/>
      <c r="AC202" s="533"/>
      <c r="AD202" s="533"/>
      <c r="AE202" s="533"/>
      <c r="AF202" s="533"/>
      <c r="AG202" s="533"/>
      <c r="AH202" s="533"/>
      <c r="AI202" s="533"/>
      <c r="AJ202" s="533"/>
      <c r="AK202" s="533"/>
      <c r="AL202" s="533"/>
      <c r="AM202" s="533"/>
      <c r="AN202" s="533"/>
      <c r="AO202" s="533"/>
      <c r="AP202" s="533"/>
      <c r="AQ202" s="533"/>
      <c r="AR202" s="533"/>
      <c r="AS202" s="533"/>
      <c r="AT202" s="533"/>
      <c r="AU202" s="533"/>
      <c r="AV202" s="533"/>
      <c r="AW202" s="533"/>
      <c r="AX202" s="533"/>
      <c r="AY202" s="533"/>
      <c r="AZ202" s="533"/>
      <c r="BA202" s="533"/>
      <c r="BB202" s="533"/>
      <c r="BC202" s="533"/>
      <c r="BD202" s="533"/>
      <c r="BE202" s="540"/>
      <c r="BF202" s="540"/>
      <c r="BG202" s="533"/>
      <c r="BH202" s="531"/>
      <c r="BI202" s="532"/>
      <c r="BJ202" s="533"/>
      <c r="BK202" s="533"/>
      <c r="BL202" s="533"/>
      <c r="BM202" s="533"/>
    </row>
    <row r="203" spans="4:65" s="518" customFormat="1">
      <c r="D203" s="772"/>
      <c r="E203" s="772"/>
      <c r="F203" s="522"/>
      <c r="G203" s="517"/>
      <c r="H203" s="519"/>
      <c r="I203" s="533"/>
      <c r="J203" s="533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  <c r="U203" s="533"/>
      <c r="V203" s="533"/>
      <c r="W203" s="533"/>
      <c r="X203" s="533"/>
      <c r="Y203" s="533"/>
      <c r="Z203" s="533"/>
      <c r="AA203" s="533"/>
      <c r="AB203" s="533"/>
      <c r="AC203" s="533"/>
      <c r="AD203" s="533"/>
      <c r="AE203" s="533"/>
      <c r="AF203" s="533"/>
      <c r="AG203" s="533"/>
      <c r="AH203" s="533"/>
      <c r="AI203" s="533"/>
      <c r="AJ203" s="533"/>
      <c r="AK203" s="533"/>
      <c r="AL203" s="533"/>
      <c r="AM203" s="533"/>
      <c r="AN203" s="533"/>
      <c r="AO203" s="533"/>
      <c r="AP203" s="533"/>
      <c r="AQ203" s="533"/>
      <c r="AR203" s="533"/>
      <c r="AS203" s="533"/>
      <c r="AT203" s="533"/>
      <c r="AU203" s="533"/>
      <c r="AV203" s="533"/>
      <c r="AW203" s="533"/>
      <c r="AX203" s="533"/>
      <c r="AY203" s="533"/>
      <c r="AZ203" s="533"/>
      <c r="BA203" s="533"/>
      <c r="BB203" s="533"/>
      <c r="BC203" s="533"/>
      <c r="BD203" s="533"/>
      <c r="BE203" s="540"/>
      <c r="BF203" s="540"/>
      <c r="BG203" s="533"/>
      <c r="BH203" s="531"/>
      <c r="BI203" s="532"/>
      <c r="BJ203" s="533"/>
      <c r="BK203" s="533"/>
      <c r="BL203" s="533"/>
      <c r="BM203" s="533"/>
    </row>
    <row r="204" spans="4:65" s="518" customFormat="1">
      <c r="D204" s="772"/>
      <c r="E204" s="772"/>
      <c r="F204" s="522"/>
      <c r="G204" s="517"/>
      <c r="H204" s="519"/>
      <c r="I204" s="533"/>
      <c r="J204" s="533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  <c r="U204" s="533"/>
      <c r="V204" s="533"/>
      <c r="W204" s="533"/>
      <c r="X204" s="533"/>
      <c r="Y204" s="533"/>
      <c r="Z204" s="533"/>
      <c r="AA204" s="533"/>
      <c r="AB204" s="533"/>
      <c r="AC204" s="533"/>
      <c r="AD204" s="533"/>
      <c r="AE204" s="533"/>
      <c r="AF204" s="533"/>
      <c r="AG204" s="533"/>
      <c r="AH204" s="533"/>
      <c r="AI204" s="533"/>
      <c r="AJ204" s="533"/>
      <c r="AK204" s="533"/>
      <c r="AL204" s="533"/>
      <c r="AM204" s="533"/>
      <c r="AN204" s="533"/>
      <c r="AO204" s="533"/>
      <c r="AP204" s="533"/>
      <c r="AQ204" s="533"/>
      <c r="AR204" s="533"/>
      <c r="AS204" s="533"/>
      <c r="AT204" s="533"/>
      <c r="AU204" s="533"/>
      <c r="AV204" s="533"/>
      <c r="AW204" s="533"/>
      <c r="AX204" s="533"/>
      <c r="AY204" s="533"/>
      <c r="AZ204" s="533"/>
      <c r="BA204" s="533"/>
      <c r="BB204" s="533"/>
      <c r="BC204" s="533"/>
      <c r="BD204" s="533"/>
      <c r="BE204" s="540"/>
      <c r="BF204" s="540"/>
      <c r="BG204" s="533"/>
      <c r="BH204" s="531"/>
      <c r="BI204" s="532"/>
      <c r="BJ204" s="533"/>
      <c r="BK204" s="533"/>
      <c r="BL204" s="533"/>
      <c r="BM204" s="533"/>
    </row>
    <row r="205" spans="4:65" s="518" customFormat="1">
      <c r="D205" s="772"/>
      <c r="E205" s="772"/>
      <c r="F205" s="522"/>
      <c r="G205" s="517"/>
      <c r="H205" s="519"/>
      <c r="I205" s="533"/>
      <c r="J205" s="533"/>
      <c r="K205" s="533"/>
      <c r="L205" s="533"/>
      <c r="M205" s="533"/>
      <c r="N205" s="533"/>
      <c r="O205" s="533"/>
      <c r="P205" s="533"/>
      <c r="Q205" s="533"/>
      <c r="R205" s="533"/>
      <c r="S205" s="533"/>
      <c r="T205" s="533"/>
      <c r="U205" s="533"/>
      <c r="V205" s="533"/>
      <c r="W205" s="533"/>
      <c r="X205" s="533"/>
      <c r="Y205" s="533"/>
      <c r="Z205" s="533"/>
      <c r="AA205" s="533"/>
      <c r="AB205" s="533"/>
      <c r="AC205" s="533"/>
      <c r="AD205" s="533"/>
      <c r="AE205" s="533"/>
      <c r="AF205" s="533"/>
      <c r="AG205" s="533"/>
      <c r="AH205" s="533"/>
      <c r="AI205" s="533"/>
      <c r="AJ205" s="533"/>
      <c r="AK205" s="533"/>
      <c r="AL205" s="533"/>
      <c r="AM205" s="533"/>
      <c r="AN205" s="533"/>
      <c r="AO205" s="533"/>
      <c r="AP205" s="533"/>
      <c r="AQ205" s="533"/>
      <c r="AR205" s="533"/>
      <c r="AS205" s="533"/>
      <c r="AT205" s="533"/>
      <c r="AU205" s="533"/>
      <c r="AV205" s="533"/>
      <c r="AW205" s="533"/>
      <c r="AX205" s="533"/>
      <c r="AY205" s="533"/>
      <c r="AZ205" s="533"/>
      <c r="BA205" s="533"/>
      <c r="BB205" s="533"/>
      <c r="BC205" s="533"/>
      <c r="BD205" s="533"/>
      <c r="BE205" s="540"/>
      <c r="BF205" s="540"/>
      <c r="BG205" s="533"/>
      <c r="BH205" s="531"/>
      <c r="BI205" s="532"/>
      <c r="BJ205" s="533"/>
      <c r="BK205" s="533"/>
      <c r="BL205" s="533"/>
      <c r="BM205" s="533"/>
    </row>
    <row r="206" spans="4:65" s="518" customFormat="1">
      <c r="D206" s="772"/>
      <c r="E206" s="772"/>
      <c r="F206" s="522"/>
      <c r="G206" s="517"/>
      <c r="H206" s="519"/>
      <c r="I206" s="533"/>
      <c r="J206" s="533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533"/>
      <c r="AK206" s="533"/>
      <c r="AL206" s="533"/>
      <c r="AM206" s="533"/>
      <c r="AN206" s="533"/>
      <c r="AO206" s="533"/>
      <c r="AP206" s="533"/>
      <c r="AQ206" s="533"/>
      <c r="AR206" s="533"/>
      <c r="AS206" s="533"/>
      <c r="AT206" s="533"/>
      <c r="AU206" s="533"/>
      <c r="AV206" s="533"/>
      <c r="AW206" s="533"/>
      <c r="AX206" s="533"/>
      <c r="AY206" s="533"/>
      <c r="AZ206" s="533"/>
      <c r="BA206" s="533"/>
      <c r="BB206" s="533"/>
      <c r="BC206" s="533"/>
      <c r="BD206" s="533"/>
      <c r="BE206" s="540"/>
      <c r="BF206" s="540"/>
      <c r="BG206" s="533"/>
      <c r="BH206" s="531"/>
      <c r="BI206" s="532"/>
      <c r="BJ206" s="533"/>
      <c r="BK206" s="533"/>
      <c r="BL206" s="533"/>
      <c r="BM206" s="533"/>
    </row>
    <row r="207" spans="4:65" s="518" customFormat="1">
      <c r="D207" s="772"/>
      <c r="E207" s="772"/>
      <c r="F207" s="522"/>
      <c r="G207" s="517"/>
      <c r="H207" s="519"/>
      <c r="I207" s="533"/>
      <c r="J207" s="533"/>
      <c r="K207" s="533"/>
      <c r="L207" s="533"/>
      <c r="M207" s="533"/>
      <c r="N207" s="533"/>
      <c r="O207" s="533"/>
      <c r="P207" s="533"/>
      <c r="Q207" s="533"/>
      <c r="R207" s="533"/>
      <c r="S207" s="533"/>
      <c r="T207" s="533"/>
      <c r="U207" s="533"/>
      <c r="V207" s="533"/>
      <c r="W207" s="533"/>
      <c r="X207" s="533"/>
      <c r="Y207" s="533"/>
      <c r="Z207" s="533"/>
      <c r="AA207" s="533"/>
      <c r="AB207" s="533"/>
      <c r="AC207" s="533"/>
      <c r="AD207" s="533"/>
      <c r="AE207" s="533"/>
      <c r="AF207" s="533"/>
      <c r="AG207" s="533"/>
      <c r="AH207" s="533"/>
      <c r="AI207" s="533"/>
      <c r="AJ207" s="533"/>
      <c r="AK207" s="533"/>
      <c r="AL207" s="533"/>
      <c r="AM207" s="533"/>
      <c r="AN207" s="533"/>
      <c r="AO207" s="533"/>
      <c r="AP207" s="533"/>
      <c r="AQ207" s="533"/>
      <c r="AR207" s="533"/>
      <c r="AS207" s="533"/>
      <c r="AT207" s="533"/>
      <c r="AU207" s="533"/>
      <c r="AV207" s="533"/>
      <c r="AW207" s="533"/>
      <c r="AX207" s="533"/>
      <c r="AY207" s="533"/>
      <c r="AZ207" s="533"/>
      <c r="BA207" s="533"/>
      <c r="BB207" s="533"/>
      <c r="BC207" s="533"/>
      <c r="BD207" s="533"/>
      <c r="BE207" s="540"/>
      <c r="BF207" s="540"/>
      <c r="BG207" s="533"/>
      <c r="BH207" s="531"/>
      <c r="BI207" s="532"/>
      <c r="BJ207" s="533"/>
      <c r="BK207" s="533"/>
      <c r="BL207" s="533"/>
      <c r="BM207" s="533"/>
    </row>
    <row r="208" spans="4:65" s="518" customFormat="1">
      <c r="D208" s="772"/>
      <c r="E208" s="772"/>
      <c r="F208" s="522"/>
      <c r="G208" s="517"/>
      <c r="H208" s="519"/>
      <c r="I208" s="533"/>
      <c r="J208" s="533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  <c r="AA208" s="533"/>
      <c r="AB208" s="533"/>
      <c r="AC208" s="533"/>
      <c r="AD208" s="533"/>
      <c r="AE208" s="533"/>
      <c r="AF208" s="533"/>
      <c r="AG208" s="533"/>
      <c r="AH208" s="533"/>
      <c r="AI208" s="533"/>
      <c r="AJ208" s="533"/>
      <c r="AK208" s="533"/>
      <c r="AL208" s="533"/>
      <c r="AM208" s="533"/>
      <c r="AN208" s="533"/>
      <c r="AO208" s="533"/>
      <c r="AP208" s="533"/>
      <c r="AQ208" s="533"/>
      <c r="AR208" s="533"/>
      <c r="AS208" s="533"/>
      <c r="AT208" s="533"/>
      <c r="AU208" s="533"/>
      <c r="AV208" s="533"/>
      <c r="AW208" s="533"/>
      <c r="AX208" s="533"/>
      <c r="AY208" s="533"/>
      <c r="AZ208" s="533"/>
      <c r="BA208" s="533"/>
      <c r="BB208" s="533"/>
      <c r="BC208" s="533"/>
      <c r="BD208" s="533"/>
      <c r="BE208" s="540"/>
      <c r="BF208" s="540"/>
      <c r="BG208" s="533"/>
      <c r="BH208" s="531"/>
      <c r="BI208" s="532"/>
      <c r="BJ208" s="533"/>
      <c r="BK208" s="533"/>
      <c r="BL208" s="533"/>
      <c r="BM208" s="533"/>
    </row>
    <row r="209" spans="4:65" s="518" customFormat="1">
      <c r="D209" s="772"/>
      <c r="E209" s="772"/>
      <c r="F209" s="522"/>
      <c r="G209" s="517"/>
      <c r="H209" s="519"/>
      <c r="I209" s="533"/>
      <c r="J209" s="533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  <c r="U209" s="533"/>
      <c r="V209" s="533"/>
      <c r="W209" s="533"/>
      <c r="X209" s="533"/>
      <c r="Y209" s="533"/>
      <c r="Z209" s="533"/>
      <c r="AA209" s="533"/>
      <c r="AB209" s="533"/>
      <c r="AC209" s="533"/>
      <c r="AD209" s="533"/>
      <c r="AE209" s="533"/>
      <c r="AF209" s="533"/>
      <c r="AG209" s="533"/>
      <c r="AH209" s="533"/>
      <c r="AI209" s="533"/>
      <c r="AJ209" s="533"/>
      <c r="AK209" s="533"/>
      <c r="AL209" s="533"/>
      <c r="AM209" s="533"/>
      <c r="AN209" s="533"/>
      <c r="AO209" s="533"/>
      <c r="AP209" s="533"/>
      <c r="AQ209" s="533"/>
      <c r="AR209" s="533"/>
      <c r="AS209" s="533"/>
      <c r="AT209" s="533"/>
      <c r="AU209" s="533"/>
      <c r="AV209" s="533"/>
      <c r="AW209" s="533"/>
      <c r="AX209" s="533"/>
      <c r="AY209" s="533"/>
      <c r="AZ209" s="533"/>
      <c r="BA209" s="533"/>
      <c r="BB209" s="533"/>
      <c r="BC209" s="533"/>
      <c r="BD209" s="533"/>
      <c r="BE209" s="540"/>
      <c r="BF209" s="540"/>
      <c r="BG209" s="533"/>
      <c r="BH209" s="531"/>
      <c r="BI209" s="532"/>
      <c r="BJ209" s="533"/>
      <c r="BK209" s="533"/>
      <c r="BL209" s="533"/>
      <c r="BM209" s="533"/>
    </row>
    <row r="210" spans="4:65" s="518" customFormat="1">
      <c r="D210" s="772"/>
      <c r="E210" s="772"/>
      <c r="F210" s="522"/>
      <c r="G210" s="517"/>
      <c r="H210" s="519"/>
      <c r="I210" s="533"/>
      <c r="J210" s="533"/>
      <c r="K210" s="533"/>
      <c r="L210" s="533"/>
      <c r="M210" s="533"/>
      <c r="N210" s="533"/>
      <c r="O210" s="533"/>
      <c r="P210" s="533"/>
      <c r="Q210" s="533"/>
      <c r="R210" s="533"/>
      <c r="S210" s="533"/>
      <c r="T210" s="533"/>
      <c r="U210" s="533"/>
      <c r="V210" s="533"/>
      <c r="W210" s="533"/>
      <c r="X210" s="533"/>
      <c r="Y210" s="533"/>
      <c r="Z210" s="533"/>
      <c r="AA210" s="533"/>
      <c r="AB210" s="533"/>
      <c r="AC210" s="533"/>
      <c r="AD210" s="533"/>
      <c r="AE210" s="533"/>
      <c r="AF210" s="533"/>
      <c r="AG210" s="533"/>
      <c r="AH210" s="533"/>
      <c r="AI210" s="533"/>
      <c r="AJ210" s="533"/>
      <c r="AK210" s="533"/>
      <c r="AL210" s="533"/>
      <c r="AM210" s="533"/>
      <c r="AN210" s="533"/>
      <c r="AO210" s="533"/>
      <c r="AP210" s="533"/>
      <c r="AQ210" s="533"/>
      <c r="AR210" s="533"/>
      <c r="AS210" s="533"/>
      <c r="AT210" s="533"/>
      <c r="AU210" s="533"/>
      <c r="AV210" s="533"/>
      <c r="AW210" s="533"/>
      <c r="AX210" s="533"/>
      <c r="AY210" s="533"/>
      <c r="AZ210" s="533"/>
      <c r="BA210" s="533"/>
      <c r="BB210" s="533"/>
      <c r="BC210" s="533"/>
      <c r="BD210" s="533"/>
      <c r="BE210" s="540"/>
      <c r="BF210" s="540"/>
      <c r="BG210" s="533"/>
      <c r="BH210" s="531"/>
      <c r="BI210" s="532"/>
      <c r="BJ210" s="533"/>
      <c r="BK210" s="533"/>
      <c r="BL210" s="533"/>
      <c r="BM210" s="533"/>
    </row>
    <row r="211" spans="4:65" s="518" customFormat="1">
      <c r="D211" s="772"/>
      <c r="E211" s="772"/>
      <c r="F211" s="522"/>
      <c r="G211" s="517"/>
      <c r="H211" s="519"/>
      <c r="I211" s="533"/>
      <c r="J211" s="533"/>
      <c r="K211" s="533"/>
      <c r="L211" s="533"/>
      <c r="M211" s="533"/>
      <c r="N211" s="533"/>
      <c r="O211" s="533"/>
      <c r="P211" s="533"/>
      <c r="Q211" s="533"/>
      <c r="R211" s="533"/>
      <c r="S211" s="533"/>
      <c r="T211" s="533"/>
      <c r="U211" s="533"/>
      <c r="V211" s="533"/>
      <c r="W211" s="533"/>
      <c r="X211" s="533"/>
      <c r="Y211" s="533"/>
      <c r="Z211" s="533"/>
      <c r="AA211" s="533"/>
      <c r="AB211" s="533"/>
      <c r="AC211" s="533"/>
      <c r="AD211" s="533"/>
      <c r="AE211" s="533"/>
      <c r="AF211" s="533"/>
      <c r="AG211" s="533"/>
      <c r="AH211" s="533"/>
      <c r="AI211" s="533"/>
      <c r="AJ211" s="533"/>
      <c r="AK211" s="533"/>
      <c r="AL211" s="533"/>
      <c r="AM211" s="533"/>
      <c r="AN211" s="533"/>
      <c r="AO211" s="533"/>
      <c r="AP211" s="533"/>
      <c r="AQ211" s="533"/>
      <c r="AR211" s="533"/>
      <c r="AS211" s="533"/>
      <c r="AT211" s="533"/>
      <c r="AU211" s="533"/>
      <c r="AV211" s="533"/>
      <c r="AW211" s="533"/>
      <c r="AX211" s="533"/>
      <c r="AY211" s="533"/>
      <c r="AZ211" s="533"/>
      <c r="BA211" s="533"/>
      <c r="BB211" s="533"/>
      <c r="BC211" s="533"/>
      <c r="BD211" s="533"/>
      <c r="BE211" s="540"/>
      <c r="BF211" s="540"/>
      <c r="BG211" s="533"/>
      <c r="BH211" s="531"/>
      <c r="BI211" s="532"/>
      <c r="BJ211" s="533"/>
      <c r="BK211" s="533"/>
      <c r="BL211" s="533"/>
      <c r="BM211" s="533"/>
    </row>
    <row r="212" spans="4:65" s="518" customFormat="1">
      <c r="D212" s="772"/>
      <c r="E212" s="772"/>
      <c r="F212" s="522"/>
      <c r="G212" s="517"/>
      <c r="H212" s="519"/>
      <c r="I212" s="533"/>
      <c r="J212" s="533"/>
      <c r="K212" s="533"/>
      <c r="L212" s="533"/>
      <c r="M212" s="533"/>
      <c r="N212" s="533"/>
      <c r="O212" s="533"/>
      <c r="P212" s="533"/>
      <c r="Q212" s="533"/>
      <c r="R212" s="533"/>
      <c r="S212" s="533"/>
      <c r="T212" s="533"/>
      <c r="U212" s="533"/>
      <c r="V212" s="533"/>
      <c r="W212" s="533"/>
      <c r="X212" s="533"/>
      <c r="Y212" s="533"/>
      <c r="Z212" s="533"/>
      <c r="AA212" s="533"/>
      <c r="AB212" s="533"/>
      <c r="AC212" s="533"/>
      <c r="AD212" s="533"/>
      <c r="AE212" s="533"/>
      <c r="AF212" s="533"/>
      <c r="AG212" s="533"/>
      <c r="AH212" s="533"/>
      <c r="AI212" s="533"/>
      <c r="AJ212" s="533"/>
      <c r="AK212" s="533"/>
      <c r="AL212" s="533"/>
      <c r="AM212" s="533"/>
      <c r="AN212" s="533"/>
      <c r="AO212" s="533"/>
      <c r="AP212" s="533"/>
      <c r="AQ212" s="533"/>
      <c r="AR212" s="533"/>
      <c r="AS212" s="533"/>
      <c r="AT212" s="533"/>
      <c r="AU212" s="533"/>
      <c r="AV212" s="533"/>
      <c r="AW212" s="533"/>
      <c r="AX212" s="533"/>
      <c r="AY212" s="533"/>
      <c r="AZ212" s="533"/>
      <c r="BA212" s="533"/>
      <c r="BB212" s="533"/>
      <c r="BC212" s="533"/>
      <c r="BD212" s="533"/>
      <c r="BE212" s="540"/>
      <c r="BF212" s="540"/>
      <c r="BG212" s="533"/>
      <c r="BH212" s="531"/>
      <c r="BI212" s="532"/>
      <c r="BJ212" s="533"/>
      <c r="BK212" s="533"/>
      <c r="BL212" s="533"/>
      <c r="BM212" s="533"/>
    </row>
    <row r="213" spans="4:65" s="518" customFormat="1">
      <c r="D213" s="772"/>
      <c r="E213" s="772"/>
      <c r="F213" s="522"/>
      <c r="G213" s="517"/>
      <c r="H213" s="519"/>
      <c r="I213" s="533"/>
      <c r="J213" s="533"/>
      <c r="K213" s="533"/>
      <c r="L213" s="533"/>
      <c r="M213" s="533"/>
      <c r="N213" s="533"/>
      <c r="O213" s="533"/>
      <c r="P213" s="533"/>
      <c r="Q213" s="533"/>
      <c r="R213" s="533"/>
      <c r="S213" s="533"/>
      <c r="T213" s="533"/>
      <c r="U213" s="533"/>
      <c r="V213" s="533"/>
      <c r="W213" s="533"/>
      <c r="X213" s="533"/>
      <c r="Y213" s="533"/>
      <c r="Z213" s="533"/>
      <c r="AA213" s="533"/>
      <c r="AB213" s="533"/>
      <c r="AC213" s="533"/>
      <c r="AD213" s="533"/>
      <c r="AE213" s="533"/>
      <c r="AF213" s="533"/>
      <c r="AG213" s="533"/>
      <c r="AH213" s="533"/>
      <c r="AI213" s="533"/>
      <c r="AJ213" s="533"/>
      <c r="AK213" s="533"/>
      <c r="AL213" s="533"/>
      <c r="AM213" s="533"/>
      <c r="AN213" s="533"/>
      <c r="AO213" s="533"/>
      <c r="AP213" s="533"/>
      <c r="AQ213" s="533"/>
      <c r="AR213" s="533"/>
      <c r="AS213" s="533"/>
      <c r="AT213" s="533"/>
      <c r="AU213" s="533"/>
      <c r="AV213" s="533"/>
      <c r="AW213" s="533"/>
      <c r="AX213" s="533"/>
      <c r="AY213" s="533"/>
      <c r="AZ213" s="533"/>
      <c r="BA213" s="533"/>
      <c r="BB213" s="533"/>
      <c r="BC213" s="533"/>
      <c r="BD213" s="533"/>
      <c r="BE213" s="540"/>
      <c r="BF213" s="540"/>
      <c r="BG213" s="533"/>
      <c r="BH213" s="531"/>
      <c r="BI213" s="532"/>
      <c r="BJ213" s="533"/>
      <c r="BK213" s="533"/>
      <c r="BL213" s="533"/>
      <c r="BM213" s="533"/>
    </row>
    <row r="214" spans="4:65" s="518" customFormat="1">
      <c r="D214" s="772"/>
      <c r="E214" s="772"/>
      <c r="F214" s="522"/>
      <c r="G214" s="517"/>
      <c r="H214" s="519"/>
      <c r="I214" s="533"/>
      <c r="J214" s="533"/>
      <c r="K214" s="533"/>
      <c r="L214" s="533"/>
      <c r="M214" s="533"/>
      <c r="N214" s="533"/>
      <c r="O214" s="533"/>
      <c r="P214" s="533"/>
      <c r="Q214" s="533"/>
      <c r="R214" s="533"/>
      <c r="S214" s="533"/>
      <c r="T214" s="533"/>
      <c r="U214" s="533"/>
      <c r="V214" s="533"/>
      <c r="W214" s="533"/>
      <c r="X214" s="533"/>
      <c r="Y214" s="533"/>
      <c r="Z214" s="533"/>
      <c r="AA214" s="533"/>
      <c r="AB214" s="533"/>
      <c r="AC214" s="533"/>
      <c r="AD214" s="533"/>
      <c r="AE214" s="533"/>
      <c r="AF214" s="533"/>
      <c r="AG214" s="533"/>
      <c r="AH214" s="533"/>
      <c r="AI214" s="533"/>
      <c r="AJ214" s="533"/>
      <c r="AK214" s="533"/>
      <c r="AL214" s="533"/>
      <c r="AM214" s="533"/>
      <c r="AN214" s="533"/>
      <c r="AO214" s="533"/>
      <c r="AP214" s="533"/>
      <c r="AQ214" s="533"/>
      <c r="AR214" s="533"/>
      <c r="AS214" s="533"/>
      <c r="AT214" s="533"/>
      <c r="AU214" s="533"/>
      <c r="AV214" s="533"/>
      <c r="AW214" s="533"/>
      <c r="AX214" s="533"/>
      <c r="AY214" s="533"/>
      <c r="AZ214" s="533"/>
      <c r="BA214" s="533"/>
      <c r="BB214" s="533"/>
      <c r="BC214" s="533"/>
      <c r="BD214" s="533"/>
      <c r="BE214" s="540"/>
      <c r="BF214" s="540"/>
      <c r="BG214" s="533"/>
      <c r="BH214" s="531"/>
      <c r="BI214" s="532"/>
      <c r="BJ214" s="533"/>
      <c r="BK214" s="533"/>
      <c r="BL214" s="533"/>
      <c r="BM214" s="533"/>
    </row>
    <row r="215" spans="4:65" s="518" customFormat="1">
      <c r="D215" s="772"/>
      <c r="E215" s="772"/>
      <c r="F215" s="522"/>
      <c r="G215" s="517"/>
      <c r="H215" s="519"/>
      <c r="I215" s="533"/>
      <c r="J215" s="533"/>
      <c r="K215" s="533"/>
      <c r="L215" s="533"/>
      <c r="M215" s="533"/>
      <c r="N215" s="533"/>
      <c r="O215" s="533"/>
      <c r="P215" s="533"/>
      <c r="Q215" s="533"/>
      <c r="R215" s="533"/>
      <c r="S215" s="533"/>
      <c r="T215" s="533"/>
      <c r="U215" s="533"/>
      <c r="V215" s="533"/>
      <c r="W215" s="533"/>
      <c r="X215" s="533"/>
      <c r="Y215" s="533"/>
      <c r="Z215" s="533"/>
      <c r="AA215" s="533"/>
      <c r="AB215" s="533"/>
      <c r="AC215" s="533"/>
      <c r="AD215" s="533"/>
      <c r="AE215" s="533"/>
      <c r="AF215" s="533"/>
      <c r="AG215" s="533"/>
      <c r="AH215" s="533"/>
      <c r="AI215" s="533"/>
      <c r="AJ215" s="533"/>
      <c r="AK215" s="533"/>
      <c r="AL215" s="533"/>
      <c r="AM215" s="533"/>
      <c r="AN215" s="533"/>
      <c r="AO215" s="533"/>
      <c r="AP215" s="533"/>
      <c r="AQ215" s="533"/>
      <c r="AR215" s="533"/>
      <c r="AS215" s="533"/>
      <c r="AT215" s="533"/>
      <c r="AU215" s="533"/>
      <c r="AV215" s="533"/>
      <c r="AW215" s="533"/>
      <c r="AX215" s="533"/>
      <c r="AY215" s="533"/>
      <c r="AZ215" s="533"/>
      <c r="BA215" s="533"/>
      <c r="BB215" s="533"/>
      <c r="BC215" s="533"/>
      <c r="BD215" s="533"/>
      <c r="BE215" s="540"/>
      <c r="BF215" s="540"/>
      <c r="BG215" s="533"/>
      <c r="BH215" s="531"/>
      <c r="BI215" s="532"/>
      <c r="BJ215" s="533"/>
      <c r="BK215" s="533"/>
      <c r="BL215" s="533"/>
      <c r="BM215" s="533"/>
    </row>
    <row r="216" spans="4:65" s="518" customFormat="1">
      <c r="D216" s="772"/>
      <c r="E216" s="772"/>
      <c r="F216" s="522"/>
      <c r="G216" s="517"/>
      <c r="H216" s="519"/>
      <c r="I216" s="533"/>
      <c r="J216" s="533"/>
      <c r="K216" s="533"/>
      <c r="L216" s="533"/>
      <c r="M216" s="533"/>
      <c r="N216" s="533"/>
      <c r="O216" s="533"/>
      <c r="P216" s="533"/>
      <c r="Q216" s="533"/>
      <c r="R216" s="533"/>
      <c r="S216" s="533"/>
      <c r="T216" s="533"/>
      <c r="U216" s="533"/>
      <c r="V216" s="533"/>
      <c r="W216" s="533"/>
      <c r="X216" s="533"/>
      <c r="Y216" s="533"/>
      <c r="Z216" s="533"/>
      <c r="AA216" s="533"/>
      <c r="AB216" s="533"/>
      <c r="AC216" s="533"/>
      <c r="AD216" s="533"/>
      <c r="AE216" s="533"/>
      <c r="AF216" s="533"/>
      <c r="AG216" s="533"/>
      <c r="AH216" s="533"/>
      <c r="AI216" s="533"/>
      <c r="AJ216" s="533"/>
      <c r="AK216" s="533"/>
      <c r="AL216" s="533"/>
      <c r="AM216" s="533"/>
      <c r="AN216" s="533"/>
      <c r="AO216" s="533"/>
      <c r="AP216" s="533"/>
      <c r="AQ216" s="533"/>
      <c r="AR216" s="533"/>
      <c r="AS216" s="533"/>
      <c r="AT216" s="533"/>
      <c r="AU216" s="533"/>
      <c r="AV216" s="533"/>
      <c r="AW216" s="533"/>
      <c r="AX216" s="533"/>
      <c r="AY216" s="533"/>
      <c r="AZ216" s="533"/>
      <c r="BA216" s="533"/>
      <c r="BB216" s="533"/>
      <c r="BC216" s="533"/>
      <c r="BD216" s="533"/>
      <c r="BE216" s="540"/>
      <c r="BF216" s="540"/>
      <c r="BG216" s="533"/>
      <c r="BH216" s="531"/>
      <c r="BI216" s="532"/>
      <c r="BJ216" s="533"/>
      <c r="BK216" s="533"/>
      <c r="BL216" s="533"/>
      <c r="BM216" s="533"/>
    </row>
    <row r="217" spans="4:65" s="518" customFormat="1">
      <c r="D217" s="772"/>
      <c r="E217" s="772"/>
      <c r="F217" s="522"/>
      <c r="G217" s="517"/>
      <c r="H217" s="519"/>
      <c r="I217" s="533"/>
      <c r="J217" s="533"/>
      <c r="K217" s="533"/>
      <c r="L217" s="533"/>
      <c r="M217" s="533"/>
      <c r="N217" s="533"/>
      <c r="O217" s="533"/>
      <c r="P217" s="533"/>
      <c r="Q217" s="533"/>
      <c r="R217" s="533"/>
      <c r="S217" s="533"/>
      <c r="T217" s="533"/>
      <c r="U217" s="533"/>
      <c r="V217" s="533"/>
      <c r="W217" s="533"/>
      <c r="X217" s="533"/>
      <c r="Y217" s="533"/>
      <c r="Z217" s="533"/>
      <c r="AA217" s="533"/>
      <c r="AB217" s="533"/>
      <c r="AC217" s="533"/>
      <c r="AD217" s="533"/>
      <c r="AE217" s="533"/>
      <c r="AF217" s="533"/>
      <c r="AG217" s="533"/>
      <c r="AH217" s="533"/>
      <c r="AI217" s="533"/>
      <c r="AJ217" s="533"/>
      <c r="AK217" s="533"/>
      <c r="AL217" s="533"/>
      <c r="AM217" s="533"/>
      <c r="AN217" s="533"/>
      <c r="AO217" s="533"/>
      <c r="AP217" s="533"/>
      <c r="AQ217" s="533"/>
      <c r="AR217" s="533"/>
      <c r="AS217" s="533"/>
      <c r="AT217" s="533"/>
      <c r="AU217" s="533"/>
      <c r="AV217" s="533"/>
      <c r="AW217" s="533"/>
      <c r="AX217" s="533"/>
      <c r="AY217" s="533"/>
      <c r="AZ217" s="533"/>
      <c r="BA217" s="533"/>
      <c r="BB217" s="533"/>
      <c r="BC217" s="533"/>
      <c r="BD217" s="533"/>
      <c r="BE217" s="540"/>
      <c r="BF217" s="540"/>
      <c r="BG217" s="533"/>
      <c r="BH217" s="531"/>
      <c r="BI217" s="532"/>
      <c r="BJ217" s="533"/>
      <c r="BK217" s="533"/>
      <c r="BL217" s="533"/>
      <c r="BM217" s="533"/>
    </row>
    <row r="218" spans="4:65" s="518" customFormat="1">
      <c r="D218" s="772"/>
      <c r="E218" s="772"/>
      <c r="F218" s="522"/>
      <c r="G218" s="517"/>
      <c r="H218" s="519"/>
      <c r="I218" s="533"/>
      <c r="J218" s="533"/>
      <c r="K218" s="533"/>
      <c r="L218" s="533"/>
      <c r="M218" s="533"/>
      <c r="N218" s="533"/>
      <c r="O218" s="533"/>
      <c r="P218" s="533"/>
      <c r="Q218" s="533"/>
      <c r="R218" s="533"/>
      <c r="S218" s="533"/>
      <c r="T218" s="533"/>
      <c r="U218" s="533"/>
      <c r="V218" s="533"/>
      <c r="W218" s="533"/>
      <c r="X218" s="533"/>
      <c r="Y218" s="533"/>
      <c r="Z218" s="533"/>
      <c r="AA218" s="533"/>
      <c r="AB218" s="533"/>
      <c r="AC218" s="533"/>
      <c r="AD218" s="533"/>
      <c r="AE218" s="533"/>
      <c r="AF218" s="533"/>
      <c r="AG218" s="533"/>
      <c r="AH218" s="533"/>
      <c r="AI218" s="533"/>
      <c r="AJ218" s="533"/>
      <c r="AK218" s="533"/>
      <c r="AL218" s="533"/>
      <c r="AM218" s="533"/>
      <c r="AN218" s="533"/>
      <c r="AO218" s="533"/>
      <c r="AP218" s="533"/>
      <c r="AQ218" s="533"/>
      <c r="AR218" s="533"/>
      <c r="AS218" s="533"/>
      <c r="AT218" s="533"/>
      <c r="AU218" s="533"/>
      <c r="AV218" s="533"/>
      <c r="AW218" s="533"/>
      <c r="AX218" s="533"/>
      <c r="AY218" s="533"/>
      <c r="AZ218" s="533"/>
      <c r="BA218" s="533"/>
      <c r="BB218" s="533"/>
      <c r="BC218" s="533"/>
      <c r="BD218" s="533"/>
      <c r="BE218" s="540"/>
      <c r="BF218" s="540"/>
      <c r="BG218" s="533"/>
      <c r="BH218" s="531"/>
      <c r="BI218" s="532"/>
      <c r="BJ218" s="533"/>
      <c r="BK218" s="533"/>
      <c r="BL218" s="533"/>
      <c r="BM218" s="533"/>
    </row>
    <row r="219" spans="4:65" s="518" customFormat="1">
      <c r="D219" s="772"/>
      <c r="E219" s="772"/>
      <c r="F219" s="522"/>
      <c r="G219" s="517"/>
      <c r="H219" s="519"/>
      <c r="I219" s="533"/>
      <c r="J219" s="533"/>
      <c r="K219" s="533"/>
      <c r="L219" s="533"/>
      <c r="M219" s="533"/>
      <c r="N219" s="533"/>
      <c r="O219" s="533"/>
      <c r="P219" s="533"/>
      <c r="Q219" s="533"/>
      <c r="R219" s="533"/>
      <c r="S219" s="533"/>
      <c r="T219" s="533"/>
      <c r="U219" s="533"/>
      <c r="V219" s="533"/>
      <c r="W219" s="533"/>
      <c r="X219" s="533"/>
      <c r="Y219" s="533"/>
      <c r="Z219" s="533"/>
      <c r="AA219" s="533"/>
      <c r="AB219" s="533"/>
      <c r="AC219" s="533"/>
      <c r="AD219" s="533"/>
      <c r="AE219" s="533"/>
      <c r="AF219" s="533"/>
      <c r="AG219" s="533"/>
      <c r="AH219" s="533"/>
      <c r="AI219" s="533"/>
      <c r="AJ219" s="533"/>
      <c r="AK219" s="533"/>
      <c r="AL219" s="533"/>
      <c r="AM219" s="533"/>
      <c r="AN219" s="533"/>
      <c r="AO219" s="533"/>
      <c r="AP219" s="533"/>
      <c r="AQ219" s="533"/>
      <c r="AR219" s="533"/>
      <c r="AS219" s="533"/>
      <c r="AT219" s="533"/>
      <c r="AU219" s="533"/>
      <c r="AV219" s="533"/>
      <c r="AW219" s="533"/>
      <c r="AX219" s="533"/>
      <c r="AY219" s="533"/>
      <c r="AZ219" s="533"/>
      <c r="BA219" s="533"/>
      <c r="BB219" s="533"/>
      <c r="BC219" s="533"/>
      <c r="BD219" s="533"/>
      <c r="BE219" s="540"/>
      <c r="BF219" s="540"/>
      <c r="BG219" s="533"/>
      <c r="BH219" s="531"/>
      <c r="BI219" s="532"/>
      <c r="BJ219" s="533"/>
      <c r="BK219" s="533"/>
      <c r="BL219" s="533"/>
      <c r="BM219" s="533"/>
    </row>
    <row r="220" spans="4:65" s="518" customFormat="1">
      <c r="D220" s="772"/>
      <c r="E220" s="772"/>
      <c r="F220" s="522"/>
      <c r="G220" s="517"/>
      <c r="H220" s="519"/>
      <c r="I220" s="533"/>
      <c r="J220" s="533"/>
      <c r="K220" s="533"/>
      <c r="L220" s="533"/>
      <c r="M220" s="533"/>
      <c r="N220" s="533"/>
      <c r="O220" s="533"/>
      <c r="P220" s="533"/>
      <c r="Q220" s="533"/>
      <c r="R220" s="533"/>
      <c r="S220" s="533"/>
      <c r="T220" s="533"/>
      <c r="U220" s="533"/>
      <c r="V220" s="533"/>
      <c r="W220" s="533"/>
      <c r="X220" s="533"/>
      <c r="Y220" s="533"/>
      <c r="Z220" s="533"/>
      <c r="AA220" s="533"/>
      <c r="AB220" s="533"/>
      <c r="AC220" s="533"/>
      <c r="AD220" s="533"/>
      <c r="AE220" s="533"/>
      <c r="AF220" s="533"/>
      <c r="AG220" s="533"/>
      <c r="AH220" s="533"/>
      <c r="AI220" s="533"/>
      <c r="AJ220" s="533"/>
      <c r="AK220" s="533"/>
      <c r="AL220" s="533"/>
      <c r="AM220" s="533"/>
      <c r="AN220" s="533"/>
      <c r="AO220" s="533"/>
      <c r="AP220" s="533"/>
      <c r="AQ220" s="533"/>
      <c r="AR220" s="533"/>
      <c r="AS220" s="533"/>
      <c r="AT220" s="533"/>
      <c r="AU220" s="533"/>
      <c r="AV220" s="533"/>
      <c r="AW220" s="533"/>
      <c r="AX220" s="533"/>
      <c r="AY220" s="533"/>
      <c r="AZ220" s="533"/>
      <c r="BA220" s="533"/>
      <c r="BB220" s="533"/>
      <c r="BC220" s="533"/>
      <c r="BD220" s="533"/>
      <c r="BE220" s="540"/>
      <c r="BF220" s="540"/>
      <c r="BG220" s="533"/>
      <c r="BH220" s="531"/>
      <c r="BI220" s="532"/>
      <c r="BJ220" s="533"/>
      <c r="BK220" s="533"/>
      <c r="BL220" s="533"/>
      <c r="BM220" s="533"/>
    </row>
    <row r="221" spans="4:65" s="518" customFormat="1">
      <c r="D221" s="772"/>
      <c r="E221" s="772"/>
      <c r="F221" s="522"/>
      <c r="G221" s="517"/>
      <c r="H221" s="519"/>
      <c r="I221" s="533"/>
      <c r="J221" s="533"/>
      <c r="K221" s="533"/>
      <c r="L221" s="533"/>
      <c r="M221" s="533"/>
      <c r="N221" s="533"/>
      <c r="O221" s="533"/>
      <c r="P221" s="533"/>
      <c r="Q221" s="533"/>
      <c r="R221" s="533"/>
      <c r="S221" s="533"/>
      <c r="T221" s="533"/>
      <c r="U221" s="533"/>
      <c r="V221" s="533"/>
      <c r="W221" s="533"/>
      <c r="X221" s="533"/>
      <c r="Y221" s="533"/>
      <c r="Z221" s="533"/>
      <c r="AA221" s="533"/>
      <c r="AB221" s="533"/>
      <c r="AC221" s="533"/>
      <c r="AD221" s="533"/>
      <c r="AE221" s="533"/>
      <c r="AF221" s="533"/>
      <c r="AG221" s="533"/>
      <c r="AH221" s="533"/>
      <c r="AI221" s="533"/>
      <c r="AJ221" s="533"/>
      <c r="AK221" s="533"/>
      <c r="AL221" s="533"/>
      <c r="AM221" s="533"/>
      <c r="AN221" s="533"/>
      <c r="AO221" s="533"/>
      <c r="AP221" s="533"/>
      <c r="AQ221" s="533"/>
      <c r="AR221" s="533"/>
      <c r="AS221" s="533"/>
      <c r="AT221" s="533"/>
      <c r="AU221" s="533"/>
      <c r="AV221" s="533"/>
      <c r="AW221" s="533"/>
      <c r="AX221" s="533"/>
      <c r="AY221" s="533"/>
      <c r="AZ221" s="533"/>
      <c r="BA221" s="533"/>
      <c r="BB221" s="533"/>
      <c r="BC221" s="533"/>
      <c r="BD221" s="533"/>
      <c r="BE221" s="540"/>
      <c r="BF221" s="540"/>
      <c r="BG221" s="533"/>
      <c r="BH221" s="531"/>
      <c r="BI221" s="532"/>
      <c r="BJ221" s="533"/>
      <c r="BK221" s="533"/>
      <c r="BL221" s="533"/>
      <c r="BM221" s="533"/>
    </row>
    <row r="222" spans="4:65" s="518" customFormat="1">
      <c r="D222" s="772"/>
      <c r="E222" s="772"/>
      <c r="F222" s="522"/>
      <c r="G222" s="517"/>
      <c r="H222" s="519"/>
      <c r="I222" s="533"/>
      <c r="J222" s="533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  <c r="U222" s="533"/>
      <c r="V222" s="533"/>
      <c r="W222" s="533"/>
      <c r="X222" s="533"/>
      <c r="Y222" s="533"/>
      <c r="Z222" s="533"/>
      <c r="AA222" s="533"/>
      <c r="AB222" s="533"/>
      <c r="AC222" s="533"/>
      <c r="AD222" s="533"/>
      <c r="AE222" s="533"/>
      <c r="AF222" s="533"/>
      <c r="AG222" s="533"/>
      <c r="AH222" s="533"/>
      <c r="AI222" s="533"/>
      <c r="AJ222" s="533"/>
      <c r="AK222" s="533"/>
      <c r="AL222" s="533"/>
      <c r="AM222" s="533"/>
      <c r="AN222" s="533"/>
      <c r="AO222" s="533"/>
      <c r="AP222" s="533"/>
      <c r="AQ222" s="533"/>
      <c r="AR222" s="533"/>
      <c r="AS222" s="533"/>
      <c r="AT222" s="533"/>
      <c r="AU222" s="533"/>
      <c r="AV222" s="533"/>
      <c r="AW222" s="533"/>
      <c r="AX222" s="533"/>
      <c r="AY222" s="533"/>
      <c r="AZ222" s="533"/>
      <c r="BA222" s="533"/>
      <c r="BB222" s="533"/>
      <c r="BC222" s="533"/>
      <c r="BD222" s="533"/>
      <c r="BE222" s="540"/>
      <c r="BF222" s="540"/>
      <c r="BG222" s="533"/>
      <c r="BH222" s="531"/>
      <c r="BI222" s="532"/>
      <c r="BJ222" s="533"/>
      <c r="BK222" s="533"/>
      <c r="BL222" s="533"/>
      <c r="BM222" s="533"/>
    </row>
    <row r="223" spans="4:65" s="518" customFormat="1">
      <c r="D223" s="772"/>
      <c r="E223" s="772"/>
      <c r="F223" s="522"/>
      <c r="G223" s="517"/>
      <c r="H223" s="519"/>
      <c r="I223" s="533"/>
      <c r="J223" s="533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  <c r="U223" s="533"/>
      <c r="V223" s="533"/>
      <c r="W223" s="533"/>
      <c r="X223" s="533"/>
      <c r="Y223" s="533"/>
      <c r="Z223" s="533"/>
      <c r="AA223" s="533"/>
      <c r="AB223" s="533"/>
      <c r="AC223" s="533"/>
      <c r="AD223" s="533"/>
      <c r="AE223" s="533"/>
      <c r="AF223" s="533"/>
      <c r="AG223" s="533"/>
      <c r="AH223" s="533"/>
      <c r="AI223" s="533"/>
      <c r="AJ223" s="533"/>
      <c r="AK223" s="533"/>
      <c r="AL223" s="533"/>
      <c r="AM223" s="533"/>
      <c r="AN223" s="533"/>
      <c r="AO223" s="533"/>
      <c r="AP223" s="533"/>
      <c r="AQ223" s="533"/>
      <c r="AR223" s="533"/>
      <c r="AS223" s="533"/>
      <c r="AT223" s="533"/>
      <c r="AU223" s="533"/>
      <c r="AV223" s="533"/>
      <c r="AW223" s="533"/>
      <c r="AX223" s="533"/>
      <c r="AY223" s="533"/>
      <c r="AZ223" s="533"/>
      <c r="BA223" s="533"/>
      <c r="BB223" s="533"/>
      <c r="BC223" s="533"/>
      <c r="BD223" s="533"/>
      <c r="BE223" s="540"/>
      <c r="BF223" s="540"/>
      <c r="BG223" s="533"/>
      <c r="BH223" s="531"/>
      <c r="BI223" s="532"/>
      <c r="BJ223" s="533"/>
      <c r="BK223" s="533"/>
      <c r="BL223" s="533"/>
      <c r="BM223" s="533"/>
    </row>
    <row r="224" spans="4:65" s="518" customFormat="1">
      <c r="D224" s="772"/>
      <c r="E224" s="772"/>
      <c r="F224" s="522"/>
      <c r="G224" s="517"/>
      <c r="H224" s="519"/>
      <c r="I224" s="533"/>
      <c r="J224" s="533"/>
      <c r="K224" s="533"/>
      <c r="L224" s="533"/>
      <c r="M224" s="533"/>
      <c r="N224" s="533"/>
      <c r="O224" s="533"/>
      <c r="P224" s="533"/>
      <c r="Q224" s="533"/>
      <c r="R224" s="533"/>
      <c r="S224" s="533"/>
      <c r="T224" s="533"/>
      <c r="U224" s="533"/>
      <c r="V224" s="533"/>
      <c r="W224" s="533"/>
      <c r="X224" s="533"/>
      <c r="Y224" s="533"/>
      <c r="Z224" s="533"/>
      <c r="AA224" s="533"/>
      <c r="AB224" s="533"/>
      <c r="AC224" s="533"/>
      <c r="AD224" s="533"/>
      <c r="AE224" s="533"/>
      <c r="AF224" s="533"/>
      <c r="AG224" s="533"/>
      <c r="AH224" s="533"/>
      <c r="AI224" s="533"/>
      <c r="AJ224" s="533"/>
      <c r="AK224" s="533"/>
      <c r="AL224" s="533"/>
      <c r="AM224" s="533"/>
      <c r="AN224" s="533"/>
      <c r="AO224" s="533"/>
      <c r="AP224" s="533"/>
      <c r="AQ224" s="533"/>
      <c r="AR224" s="533"/>
      <c r="AS224" s="533"/>
      <c r="AT224" s="533"/>
      <c r="AU224" s="533"/>
      <c r="AV224" s="533"/>
      <c r="AW224" s="533"/>
      <c r="AX224" s="533"/>
      <c r="AY224" s="533"/>
      <c r="AZ224" s="533"/>
      <c r="BA224" s="533"/>
      <c r="BB224" s="533"/>
      <c r="BC224" s="533"/>
      <c r="BD224" s="533"/>
      <c r="BE224" s="540"/>
      <c r="BF224" s="540"/>
      <c r="BG224" s="533"/>
      <c r="BH224" s="531"/>
      <c r="BI224" s="532"/>
      <c r="BJ224" s="533"/>
      <c r="BK224" s="533"/>
      <c r="BL224" s="533"/>
      <c r="BM224" s="533"/>
    </row>
    <row r="225" spans="4:65" s="518" customFormat="1">
      <c r="D225" s="772"/>
      <c r="E225" s="772"/>
      <c r="F225" s="522"/>
      <c r="G225" s="517"/>
      <c r="H225" s="519"/>
      <c r="I225" s="533"/>
      <c r="J225" s="533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  <c r="U225" s="533"/>
      <c r="V225" s="533"/>
      <c r="W225" s="533"/>
      <c r="X225" s="533"/>
      <c r="Y225" s="533"/>
      <c r="Z225" s="533"/>
      <c r="AA225" s="533"/>
      <c r="AB225" s="533"/>
      <c r="AC225" s="533"/>
      <c r="AD225" s="533"/>
      <c r="AE225" s="533"/>
      <c r="AF225" s="533"/>
      <c r="AG225" s="533"/>
      <c r="AH225" s="533"/>
      <c r="AI225" s="533"/>
      <c r="AJ225" s="533"/>
      <c r="AK225" s="533"/>
      <c r="AL225" s="533"/>
      <c r="AM225" s="533"/>
      <c r="AN225" s="533"/>
      <c r="AO225" s="533"/>
      <c r="AP225" s="533"/>
      <c r="AQ225" s="533"/>
      <c r="AR225" s="533"/>
      <c r="AS225" s="533"/>
      <c r="AT225" s="533"/>
      <c r="AU225" s="533"/>
      <c r="AV225" s="533"/>
      <c r="AW225" s="533"/>
      <c r="AX225" s="533"/>
      <c r="AY225" s="533"/>
      <c r="AZ225" s="533"/>
      <c r="BA225" s="533"/>
      <c r="BB225" s="533"/>
      <c r="BC225" s="533"/>
      <c r="BD225" s="533"/>
      <c r="BE225" s="540"/>
      <c r="BF225" s="540"/>
      <c r="BG225" s="533"/>
      <c r="BH225" s="531"/>
      <c r="BI225" s="532"/>
      <c r="BJ225" s="533"/>
      <c r="BK225" s="533"/>
      <c r="BL225" s="533"/>
      <c r="BM225" s="533"/>
    </row>
    <row r="226" spans="4:65" s="518" customFormat="1">
      <c r="D226" s="772"/>
      <c r="E226" s="772"/>
      <c r="F226" s="522"/>
      <c r="G226" s="517"/>
      <c r="H226" s="519"/>
      <c r="I226" s="533"/>
      <c r="J226" s="533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  <c r="U226" s="533"/>
      <c r="V226" s="533"/>
      <c r="W226" s="533"/>
      <c r="X226" s="533"/>
      <c r="Y226" s="533"/>
      <c r="Z226" s="533"/>
      <c r="AA226" s="533"/>
      <c r="AB226" s="533"/>
      <c r="AC226" s="533"/>
      <c r="AD226" s="533"/>
      <c r="AE226" s="533"/>
      <c r="AF226" s="533"/>
      <c r="AG226" s="533"/>
      <c r="AH226" s="533"/>
      <c r="AI226" s="533"/>
      <c r="AJ226" s="533"/>
      <c r="AK226" s="533"/>
      <c r="AL226" s="533"/>
      <c r="AM226" s="533"/>
      <c r="AN226" s="533"/>
      <c r="AO226" s="533"/>
      <c r="AP226" s="533"/>
      <c r="AQ226" s="533"/>
      <c r="AR226" s="533"/>
      <c r="AS226" s="533"/>
      <c r="AT226" s="533"/>
      <c r="AU226" s="533"/>
      <c r="AV226" s="533"/>
      <c r="AW226" s="533"/>
      <c r="AX226" s="533"/>
      <c r="AY226" s="533"/>
      <c r="AZ226" s="533"/>
      <c r="BA226" s="533"/>
      <c r="BB226" s="533"/>
      <c r="BC226" s="533"/>
      <c r="BD226" s="533"/>
      <c r="BE226" s="540"/>
      <c r="BF226" s="540"/>
      <c r="BG226" s="533"/>
      <c r="BH226" s="531"/>
      <c r="BI226" s="532"/>
      <c r="BJ226" s="533"/>
      <c r="BK226" s="533"/>
      <c r="BL226" s="533"/>
      <c r="BM226" s="533"/>
    </row>
    <row r="227" spans="4:65" s="518" customFormat="1">
      <c r="D227" s="772"/>
      <c r="E227" s="772"/>
      <c r="F227" s="522"/>
      <c r="G227" s="517"/>
      <c r="H227" s="519"/>
      <c r="I227" s="533"/>
      <c r="J227" s="533"/>
      <c r="K227" s="533"/>
      <c r="L227" s="533"/>
      <c r="M227" s="533"/>
      <c r="N227" s="533"/>
      <c r="O227" s="533"/>
      <c r="P227" s="533"/>
      <c r="Q227" s="533"/>
      <c r="R227" s="533"/>
      <c r="S227" s="533"/>
      <c r="T227" s="533"/>
      <c r="U227" s="533"/>
      <c r="V227" s="533"/>
      <c r="W227" s="533"/>
      <c r="X227" s="533"/>
      <c r="Y227" s="533"/>
      <c r="Z227" s="533"/>
      <c r="AA227" s="533"/>
      <c r="AB227" s="533"/>
      <c r="AC227" s="533"/>
      <c r="AD227" s="533"/>
      <c r="AE227" s="533"/>
      <c r="AF227" s="533"/>
      <c r="AG227" s="533"/>
      <c r="AH227" s="533"/>
      <c r="AI227" s="533"/>
      <c r="AJ227" s="533"/>
      <c r="AK227" s="533"/>
      <c r="AL227" s="533"/>
      <c r="AM227" s="533"/>
      <c r="AN227" s="533"/>
      <c r="AO227" s="533"/>
      <c r="AP227" s="533"/>
      <c r="AQ227" s="533"/>
      <c r="AR227" s="533"/>
      <c r="AS227" s="533"/>
      <c r="AT227" s="533"/>
      <c r="AU227" s="533"/>
      <c r="AV227" s="533"/>
      <c r="AW227" s="533"/>
      <c r="AX227" s="533"/>
      <c r="AY227" s="533"/>
      <c r="AZ227" s="533"/>
      <c r="BA227" s="533"/>
      <c r="BB227" s="533"/>
      <c r="BC227" s="533"/>
      <c r="BD227" s="533"/>
      <c r="BE227" s="540"/>
      <c r="BF227" s="540"/>
      <c r="BG227" s="533"/>
      <c r="BH227" s="531"/>
      <c r="BI227" s="532"/>
      <c r="BJ227" s="533"/>
      <c r="BK227" s="533"/>
      <c r="BL227" s="533"/>
      <c r="BM227" s="533"/>
    </row>
    <row r="228" spans="4:65" s="518" customFormat="1">
      <c r="D228" s="772"/>
      <c r="E228" s="772"/>
      <c r="F228" s="522"/>
      <c r="G228" s="517"/>
      <c r="H228" s="519"/>
      <c r="I228" s="533"/>
      <c r="J228" s="533"/>
      <c r="K228" s="533"/>
      <c r="L228" s="533"/>
      <c r="M228" s="533"/>
      <c r="N228" s="533"/>
      <c r="O228" s="533"/>
      <c r="P228" s="533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533"/>
      <c r="AI228" s="533"/>
      <c r="AJ228" s="533"/>
      <c r="AK228" s="533"/>
      <c r="AL228" s="533"/>
      <c r="AM228" s="533"/>
      <c r="AN228" s="533"/>
      <c r="AO228" s="533"/>
      <c r="AP228" s="533"/>
      <c r="AQ228" s="533"/>
      <c r="AR228" s="533"/>
      <c r="AS228" s="533"/>
      <c r="AT228" s="533"/>
      <c r="AU228" s="533"/>
      <c r="AV228" s="533"/>
      <c r="AW228" s="533"/>
      <c r="AX228" s="533"/>
      <c r="AY228" s="533"/>
      <c r="AZ228" s="533"/>
      <c r="BA228" s="533"/>
      <c r="BB228" s="533"/>
      <c r="BC228" s="533"/>
      <c r="BD228" s="533"/>
      <c r="BE228" s="540"/>
      <c r="BF228" s="540"/>
      <c r="BG228" s="533"/>
      <c r="BH228" s="531"/>
      <c r="BI228" s="532"/>
      <c r="BJ228" s="533"/>
      <c r="BK228" s="533"/>
      <c r="BL228" s="533"/>
      <c r="BM228" s="533"/>
    </row>
    <row r="229" spans="4:65" s="518" customFormat="1">
      <c r="D229" s="772"/>
      <c r="E229" s="772"/>
      <c r="F229" s="522"/>
      <c r="G229" s="517"/>
      <c r="H229" s="519"/>
      <c r="I229" s="533"/>
      <c r="J229" s="533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  <c r="U229" s="533"/>
      <c r="V229" s="533"/>
      <c r="W229" s="533"/>
      <c r="X229" s="533"/>
      <c r="Y229" s="533"/>
      <c r="Z229" s="533"/>
      <c r="AA229" s="533"/>
      <c r="AB229" s="533"/>
      <c r="AC229" s="533"/>
      <c r="AD229" s="533"/>
      <c r="AE229" s="533"/>
      <c r="AF229" s="533"/>
      <c r="AG229" s="533"/>
      <c r="AH229" s="533"/>
      <c r="AI229" s="533"/>
      <c r="AJ229" s="533"/>
      <c r="AK229" s="533"/>
      <c r="AL229" s="533"/>
      <c r="AM229" s="533"/>
      <c r="AN229" s="533"/>
      <c r="AO229" s="533"/>
      <c r="AP229" s="533"/>
      <c r="AQ229" s="533"/>
      <c r="AR229" s="533"/>
      <c r="AS229" s="533"/>
      <c r="AT229" s="533"/>
      <c r="AU229" s="533"/>
      <c r="AV229" s="533"/>
      <c r="AW229" s="533"/>
      <c r="AX229" s="533"/>
      <c r="AY229" s="533"/>
      <c r="AZ229" s="533"/>
      <c r="BA229" s="533"/>
      <c r="BB229" s="533"/>
      <c r="BC229" s="533"/>
      <c r="BD229" s="533"/>
      <c r="BE229" s="540"/>
      <c r="BF229" s="540"/>
      <c r="BG229" s="533"/>
      <c r="BH229" s="531"/>
      <c r="BI229" s="532"/>
      <c r="BJ229" s="533"/>
      <c r="BK229" s="533"/>
      <c r="BL229" s="533"/>
      <c r="BM229" s="533"/>
    </row>
    <row r="230" spans="4:65" s="518" customFormat="1">
      <c r="D230" s="772"/>
      <c r="E230" s="772"/>
      <c r="F230" s="522"/>
      <c r="G230" s="517"/>
      <c r="H230" s="519"/>
      <c r="I230" s="533"/>
      <c r="J230" s="533"/>
      <c r="K230" s="533"/>
      <c r="L230" s="533"/>
      <c r="M230" s="533"/>
      <c r="N230" s="533"/>
      <c r="O230" s="533"/>
      <c r="P230" s="533"/>
      <c r="Q230" s="533"/>
      <c r="R230" s="533"/>
      <c r="S230" s="533"/>
      <c r="T230" s="533"/>
      <c r="U230" s="533"/>
      <c r="V230" s="533"/>
      <c r="W230" s="533"/>
      <c r="X230" s="533"/>
      <c r="Y230" s="533"/>
      <c r="Z230" s="533"/>
      <c r="AA230" s="533"/>
      <c r="AB230" s="533"/>
      <c r="AC230" s="533"/>
      <c r="AD230" s="533"/>
      <c r="AE230" s="533"/>
      <c r="AF230" s="533"/>
      <c r="AG230" s="533"/>
      <c r="AH230" s="533"/>
      <c r="AI230" s="533"/>
      <c r="AJ230" s="533"/>
      <c r="AK230" s="533"/>
      <c r="AL230" s="533"/>
      <c r="AM230" s="533"/>
      <c r="AN230" s="533"/>
      <c r="AO230" s="533"/>
      <c r="AP230" s="533"/>
      <c r="AQ230" s="533"/>
      <c r="AR230" s="533"/>
      <c r="AS230" s="533"/>
      <c r="AT230" s="533"/>
      <c r="AU230" s="533"/>
      <c r="AV230" s="533"/>
      <c r="AW230" s="533"/>
      <c r="AX230" s="533"/>
      <c r="AY230" s="533"/>
      <c r="AZ230" s="533"/>
      <c r="BA230" s="533"/>
      <c r="BB230" s="533"/>
      <c r="BC230" s="533"/>
      <c r="BD230" s="533"/>
      <c r="BE230" s="540"/>
      <c r="BF230" s="540"/>
      <c r="BG230" s="533"/>
      <c r="BH230" s="531"/>
      <c r="BI230" s="532"/>
      <c r="BJ230" s="533"/>
      <c r="BK230" s="533"/>
      <c r="BL230" s="533"/>
      <c r="BM230" s="533"/>
    </row>
    <row r="231" spans="4:65" s="518" customFormat="1">
      <c r="D231" s="772"/>
      <c r="E231" s="772"/>
      <c r="F231" s="522"/>
      <c r="G231" s="517"/>
      <c r="H231" s="519"/>
      <c r="I231" s="533"/>
      <c r="J231" s="533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  <c r="X231" s="533"/>
      <c r="Y231" s="533"/>
      <c r="Z231" s="533"/>
      <c r="AA231" s="533"/>
      <c r="AB231" s="533"/>
      <c r="AC231" s="533"/>
      <c r="AD231" s="533"/>
      <c r="AE231" s="533"/>
      <c r="AF231" s="533"/>
      <c r="AG231" s="533"/>
      <c r="AH231" s="533"/>
      <c r="AI231" s="533"/>
      <c r="AJ231" s="533"/>
      <c r="AK231" s="533"/>
      <c r="AL231" s="533"/>
      <c r="AM231" s="533"/>
      <c r="AN231" s="533"/>
      <c r="AO231" s="533"/>
      <c r="AP231" s="533"/>
      <c r="AQ231" s="533"/>
      <c r="AR231" s="533"/>
      <c r="AS231" s="533"/>
      <c r="AT231" s="533"/>
      <c r="AU231" s="533"/>
      <c r="AV231" s="533"/>
      <c r="AW231" s="533"/>
      <c r="AX231" s="533"/>
      <c r="AY231" s="533"/>
      <c r="AZ231" s="533"/>
      <c r="BA231" s="533"/>
      <c r="BB231" s="533"/>
      <c r="BC231" s="533"/>
      <c r="BD231" s="533"/>
      <c r="BE231" s="540"/>
      <c r="BF231" s="540"/>
      <c r="BG231" s="533"/>
      <c r="BH231" s="531"/>
      <c r="BI231" s="532"/>
      <c r="BJ231" s="533"/>
      <c r="BK231" s="533"/>
      <c r="BL231" s="533"/>
      <c r="BM231" s="533"/>
    </row>
    <row r="232" spans="4:65" s="518" customFormat="1">
      <c r="D232" s="772"/>
      <c r="E232" s="772"/>
      <c r="F232" s="522"/>
      <c r="G232" s="517"/>
      <c r="H232" s="519"/>
      <c r="I232" s="533"/>
      <c r="J232" s="533"/>
      <c r="K232" s="533"/>
      <c r="L232" s="533"/>
      <c r="M232" s="533"/>
      <c r="N232" s="533"/>
      <c r="O232" s="533"/>
      <c r="P232" s="533"/>
      <c r="Q232" s="533"/>
      <c r="R232" s="533"/>
      <c r="S232" s="533"/>
      <c r="T232" s="533"/>
      <c r="U232" s="533"/>
      <c r="V232" s="533"/>
      <c r="W232" s="533"/>
      <c r="X232" s="533"/>
      <c r="Y232" s="533"/>
      <c r="Z232" s="533"/>
      <c r="AA232" s="533"/>
      <c r="AB232" s="533"/>
      <c r="AC232" s="533"/>
      <c r="AD232" s="533"/>
      <c r="AE232" s="533"/>
      <c r="AF232" s="533"/>
      <c r="AG232" s="533"/>
      <c r="AH232" s="533"/>
      <c r="AI232" s="533"/>
      <c r="AJ232" s="533"/>
      <c r="AK232" s="533"/>
      <c r="AL232" s="533"/>
      <c r="AM232" s="533"/>
      <c r="AN232" s="533"/>
      <c r="AO232" s="533"/>
      <c r="AP232" s="533"/>
      <c r="AQ232" s="533"/>
      <c r="AR232" s="533"/>
      <c r="AS232" s="533"/>
      <c r="AT232" s="533"/>
      <c r="AU232" s="533"/>
      <c r="AV232" s="533"/>
      <c r="AW232" s="533"/>
      <c r="AX232" s="533"/>
      <c r="AY232" s="533"/>
      <c r="AZ232" s="533"/>
      <c r="BA232" s="533"/>
      <c r="BB232" s="533"/>
      <c r="BC232" s="533"/>
      <c r="BD232" s="533"/>
      <c r="BE232" s="540"/>
      <c r="BF232" s="540"/>
      <c r="BG232" s="533"/>
      <c r="BH232" s="531"/>
      <c r="BI232" s="532"/>
      <c r="BJ232" s="533"/>
      <c r="BK232" s="533"/>
      <c r="BL232" s="533"/>
      <c r="BM232" s="533"/>
    </row>
    <row r="233" spans="4:65" s="518" customFormat="1">
      <c r="D233" s="772"/>
      <c r="E233" s="772"/>
      <c r="F233" s="522"/>
      <c r="G233" s="517"/>
      <c r="H233" s="519"/>
      <c r="I233" s="533"/>
      <c r="J233" s="533"/>
      <c r="K233" s="533"/>
      <c r="L233" s="533"/>
      <c r="M233" s="533"/>
      <c r="N233" s="533"/>
      <c r="O233" s="533"/>
      <c r="P233" s="533"/>
      <c r="Q233" s="533"/>
      <c r="R233" s="533"/>
      <c r="S233" s="533"/>
      <c r="T233" s="533"/>
      <c r="U233" s="533"/>
      <c r="V233" s="533"/>
      <c r="W233" s="533"/>
      <c r="X233" s="533"/>
      <c r="Y233" s="533"/>
      <c r="Z233" s="533"/>
      <c r="AA233" s="533"/>
      <c r="AB233" s="533"/>
      <c r="AC233" s="533"/>
      <c r="AD233" s="533"/>
      <c r="AE233" s="533"/>
      <c r="AF233" s="533"/>
      <c r="AG233" s="533"/>
      <c r="AH233" s="533"/>
      <c r="AI233" s="533"/>
      <c r="AJ233" s="533"/>
      <c r="AK233" s="533"/>
      <c r="AL233" s="533"/>
      <c r="AM233" s="533"/>
      <c r="AN233" s="533"/>
      <c r="AO233" s="533"/>
      <c r="AP233" s="533"/>
      <c r="AQ233" s="533"/>
      <c r="AR233" s="533"/>
      <c r="AS233" s="533"/>
      <c r="AT233" s="533"/>
      <c r="AU233" s="533"/>
      <c r="AV233" s="533"/>
      <c r="AW233" s="533"/>
      <c r="AX233" s="533"/>
      <c r="AY233" s="533"/>
      <c r="AZ233" s="533"/>
      <c r="BA233" s="533"/>
      <c r="BB233" s="533"/>
      <c r="BC233" s="533"/>
      <c r="BD233" s="533"/>
      <c r="BE233" s="540"/>
      <c r="BF233" s="540"/>
      <c r="BG233" s="533"/>
      <c r="BH233" s="531"/>
      <c r="BI233" s="532"/>
      <c r="BJ233" s="533"/>
      <c r="BK233" s="533"/>
      <c r="BL233" s="533"/>
      <c r="BM233" s="533"/>
    </row>
    <row r="234" spans="4:65" s="518" customFormat="1">
      <c r="D234" s="772"/>
      <c r="E234" s="772"/>
      <c r="F234" s="522"/>
      <c r="G234" s="517"/>
      <c r="H234" s="519"/>
      <c r="I234" s="533"/>
      <c r="J234" s="533"/>
      <c r="K234" s="533"/>
      <c r="L234" s="533"/>
      <c r="M234" s="533"/>
      <c r="N234" s="533"/>
      <c r="O234" s="533"/>
      <c r="P234" s="533"/>
      <c r="Q234" s="533"/>
      <c r="R234" s="533"/>
      <c r="S234" s="533"/>
      <c r="T234" s="533"/>
      <c r="U234" s="533"/>
      <c r="V234" s="533"/>
      <c r="W234" s="533"/>
      <c r="X234" s="533"/>
      <c r="Y234" s="533"/>
      <c r="Z234" s="533"/>
      <c r="AA234" s="533"/>
      <c r="AB234" s="533"/>
      <c r="AC234" s="533"/>
      <c r="AD234" s="533"/>
      <c r="AE234" s="533"/>
      <c r="AF234" s="533"/>
      <c r="AG234" s="533"/>
      <c r="AH234" s="533"/>
      <c r="AI234" s="533"/>
      <c r="AJ234" s="533"/>
      <c r="AK234" s="533"/>
      <c r="AL234" s="533"/>
      <c r="AM234" s="533"/>
      <c r="AN234" s="533"/>
      <c r="AO234" s="533"/>
      <c r="AP234" s="533"/>
      <c r="AQ234" s="533"/>
      <c r="AR234" s="533"/>
      <c r="AS234" s="533"/>
      <c r="AT234" s="533"/>
      <c r="AU234" s="533"/>
      <c r="AV234" s="533"/>
      <c r="AW234" s="533"/>
      <c r="AX234" s="533"/>
      <c r="AY234" s="533"/>
      <c r="AZ234" s="533"/>
      <c r="BA234" s="533"/>
      <c r="BB234" s="533"/>
      <c r="BC234" s="533"/>
      <c r="BD234" s="533"/>
      <c r="BE234" s="540"/>
      <c r="BF234" s="540"/>
      <c r="BG234" s="533"/>
      <c r="BH234" s="531"/>
      <c r="BI234" s="532"/>
      <c r="BJ234" s="533"/>
      <c r="BK234" s="533"/>
      <c r="BL234" s="533"/>
      <c r="BM234" s="533"/>
    </row>
    <row r="235" spans="4:65" s="518" customFormat="1">
      <c r="D235" s="772"/>
      <c r="E235" s="772"/>
      <c r="F235" s="522"/>
      <c r="G235" s="517"/>
      <c r="H235" s="519"/>
      <c r="I235" s="533"/>
      <c r="J235" s="533"/>
      <c r="K235" s="533"/>
      <c r="L235" s="533"/>
      <c r="M235" s="533"/>
      <c r="N235" s="533"/>
      <c r="O235" s="533"/>
      <c r="P235" s="533"/>
      <c r="Q235" s="533"/>
      <c r="R235" s="533"/>
      <c r="S235" s="533"/>
      <c r="T235" s="533"/>
      <c r="U235" s="533"/>
      <c r="V235" s="533"/>
      <c r="W235" s="533"/>
      <c r="X235" s="533"/>
      <c r="Y235" s="533"/>
      <c r="Z235" s="533"/>
      <c r="AA235" s="533"/>
      <c r="AB235" s="533"/>
      <c r="AC235" s="533"/>
      <c r="AD235" s="533"/>
      <c r="AE235" s="533"/>
      <c r="AF235" s="533"/>
      <c r="AG235" s="533"/>
      <c r="AH235" s="533"/>
      <c r="AI235" s="533"/>
      <c r="AJ235" s="533"/>
      <c r="AK235" s="533"/>
      <c r="AL235" s="533"/>
      <c r="AM235" s="533"/>
      <c r="AN235" s="533"/>
      <c r="AO235" s="533"/>
      <c r="AP235" s="533"/>
      <c r="AQ235" s="533"/>
      <c r="AR235" s="533"/>
      <c r="AS235" s="533"/>
      <c r="AT235" s="533"/>
      <c r="AU235" s="533"/>
      <c r="AV235" s="533"/>
      <c r="AW235" s="533"/>
      <c r="AX235" s="533"/>
      <c r="AY235" s="533"/>
      <c r="AZ235" s="533"/>
      <c r="BA235" s="533"/>
      <c r="BB235" s="533"/>
      <c r="BC235" s="533"/>
      <c r="BD235" s="533"/>
      <c r="BE235" s="540"/>
      <c r="BF235" s="540"/>
      <c r="BG235" s="533"/>
      <c r="BH235" s="531"/>
      <c r="BI235" s="532"/>
      <c r="BJ235" s="533"/>
      <c r="BK235" s="533"/>
      <c r="BL235" s="533"/>
      <c r="BM235" s="533"/>
    </row>
    <row r="236" spans="4:65" s="518" customFormat="1">
      <c r="D236" s="772"/>
      <c r="E236" s="772"/>
      <c r="F236" s="522"/>
      <c r="G236" s="517"/>
      <c r="H236" s="519"/>
      <c r="I236" s="533"/>
      <c r="J236" s="533"/>
      <c r="K236" s="533"/>
      <c r="L236" s="533"/>
      <c r="M236" s="533"/>
      <c r="N236" s="533"/>
      <c r="O236" s="533"/>
      <c r="P236" s="533"/>
      <c r="Q236" s="533"/>
      <c r="R236" s="533"/>
      <c r="S236" s="533"/>
      <c r="T236" s="533"/>
      <c r="U236" s="533"/>
      <c r="V236" s="533"/>
      <c r="W236" s="533"/>
      <c r="X236" s="533"/>
      <c r="Y236" s="533"/>
      <c r="Z236" s="533"/>
      <c r="AA236" s="533"/>
      <c r="AB236" s="533"/>
      <c r="AC236" s="533"/>
      <c r="AD236" s="533"/>
      <c r="AE236" s="533"/>
      <c r="AF236" s="533"/>
      <c r="AG236" s="533"/>
      <c r="AH236" s="533"/>
      <c r="AI236" s="533"/>
      <c r="AJ236" s="533"/>
      <c r="AK236" s="533"/>
      <c r="AL236" s="533"/>
      <c r="AM236" s="533"/>
      <c r="AN236" s="533"/>
      <c r="AO236" s="533"/>
      <c r="AP236" s="533"/>
      <c r="AQ236" s="533"/>
      <c r="AR236" s="533"/>
      <c r="AS236" s="533"/>
      <c r="AT236" s="533"/>
      <c r="AU236" s="533"/>
      <c r="AV236" s="533"/>
      <c r="AW236" s="533"/>
      <c r="AX236" s="533"/>
      <c r="AY236" s="533"/>
      <c r="AZ236" s="533"/>
      <c r="BA236" s="533"/>
      <c r="BB236" s="533"/>
      <c r="BC236" s="533"/>
      <c r="BD236" s="533"/>
      <c r="BE236" s="540"/>
      <c r="BF236" s="540"/>
      <c r="BG236" s="533"/>
      <c r="BH236" s="531"/>
      <c r="BI236" s="532"/>
      <c r="BJ236" s="533"/>
      <c r="BK236" s="533"/>
      <c r="BL236" s="533"/>
      <c r="BM236" s="533"/>
    </row>
    <row r="237" spans="4:65" s="518" customFormat="1">
      <c r="D237" s="772"/>
      <c r="E237" s="772"/>
      <c r="F237" s="522"/>
      <c r="G237" s="517"/>
      <c r="H237" s="519"/>
      <c r="I237" s="533"/>
      <c r="J237" s="533"/>
      <c r="K237" s="533"/>
      <c r="L237" s="533"/>
      <c r="M237" s="533"/>
      <c r="N237" s="533"/>
      <c r="O237" s="533"/>
      <c r="P237" s="533"/>
      <c r="Q237" s="533"/>
      <c r="R237" s="533"/>
      <c r="S237" s="533"/>
      <c r="T237" s="533"/>
      <c r="U237" s="533"/>
      <c r="V237" s="533"/>
      <c r="W237" s="533"/>
      <c r="X237" s="533"/>
      <c r="Y237" s="533"/>
      <c r="Z237" s="533"/>
      <c r="AA237" s="533"/>
      <c r="AB237" s="533"/>
      <c r="AC237" s="533"/>
      <c r="AD237" s="533"/>
      <c r="AE237" s="533"/>
      <c r="AF237" s="533"/>
      <c r="AG237" s="533"/>
      <c r="AH237" s="533"/>
      <c r="AI237" s="533"/>
      <c r="AJ237" s="533"/>
      <c r="AK237" s="533"/>
      <c r="AL237" s="533"/>
      <c r="AM237" s="533"/>
      <c r="AN237" s="533"/>
      <c r="AO237" s="533"/>
      <c r="AP237" s="533"/>
      <c r="AQ237" s="533"/>
      <c r="AR237" s="533"/>
      <c r="AS237" s="533"/>
      <c r="AT237" s="533"/>
      <c r="AU237" s="533"/>
      <c r="AV237" s="533"/>
      <c r="AW237" s="533"/>
      <c r="AX237" s="533"/>
      <c r="AY237" s="533"/>
      <c r="AZ237" s="533"/>
      <c r="BA237" s="533"/>
      <c r="BB237" s="533"/>
      <c r="BC237" s="533"/>
      <c r="BD237" s="533"/>
      <c r="BE237" s="540"/>
      <c r="BF237" s="540"/>
      <c r="BG237" s="533"/>
      <c r="BH237" s="531"/>
      <c r="BI237" s="532"/>
      <c r="BJ237" s="533"/>
      <c r="BK237" s="533"/>
      <c r="BL237" s="533"/>
      <c r="BM237" s="533"/>
    </row>
    <row r="238" spans="4:65" s="518" customFormat="1">
      <c r="D238" s="772"/>
      <c r="E238" s="772"/>
      <c r="F238" s="522"/>
      <c r="G238" s="517"/>
      <c r="H238" s="519"/>
      <c r="I238" s="533"/>
      <c r="J238" s="533"/>
      <c r="K238" s="533"/>
      <c r="L238" s="533"/>
      <c r="M238" s="533"/>
      <c r="N238" s="533"/>
      <c r="O238" s="533"/>
      <c r="P238" s="533"/>
      <c r="Q238" s="533"/>
      <c r="R238" s="533"/>
      <c r="S238" s="533"/>
      <c r="T238" s="533"/>
      <c r="U238" s="533"/>
      <c r="V238" s="533"/>
      <c r="W238" s="533"/>
      <c r="X238" s="533"/>
      <c r="Y238" s="533"/>
      <c r="Z238" s="533"/>
      <c r="AA238" s="533"/>
      <c r="AB238" s="533"/>
      <c r="AC238" s="533"/>
      <c r="AD238" s="533"/>
      <c r="AE238" s="533"/>
      <c r="AF238" s="533"/>
      <c r="AG238" s="533"/>
      <c r="AH238" s="533"/>
      <c r="AI238" s="533"/>
      <c r="AJ238" s="533"/>
      <c r="AK238" s="533"/>
      <c r="AL238" s="533"/>
      <c r="AM238" s="533"/>
      <c r="AN238" s="533"/>
      <c r="AO238" s="533"/>
      <c r="AP238" s="533"/>
      <c r="AQ238" s="533"/>
      <c r="AR238" s="533"/>
      <c r="AS238" s="533"/>
      <c r="AT238" s="533"/>
      <c r="AU238" s="533"/>
      <c r="AV238" s="533"/>
      <c r="AW238" s="533"/>
      <c r="AX238" s="533"/>
      <c r="AY238" s="533"/>
      <c r="AZ238" s="533"/>
      <c r="BA238" s="533"/>
      <c r="BB238" s="533"/>
      <c r="BC238" s="533"/>
      <c r="BD238" s="533"/>
      <c r="BE238" s="540"/>
      <c r="BF238" s="540"/>
      <c r="BG238" s="533"/>
      <c r="BH238" s="531"/>
      <c r="BI238" s="532"/>
      <c r="BJ238" s="533"/>
      <c r="BK238" s="533"/>
      <c r="BL238" s="533"/>
      <c r="BM238" s="533"/>
    </row>
    <row r="239" spans="4:65" s="518" customFormat="1">
      <c r="D239" s="772"/>
      <c r="E239" s="772"/>
      <c r="F239" s="522"/>
      <c r="G239" s="517"/>
      <c r="H239" s="519"/>
      <c r="I239" s="533"/>
      <c r="J239" s="533"/>
      <c r="K239" s="533"/>
      <c r="L239" s="533"/>
      <c r="M239" s="533"/>
      <c r="N239" s="533"/>
      <c r="O239" s="533"/>
      <c r="P239" s="533"/>
      <c r="Q239" s="533"/>
      <c r="R239" s="533"/>
      <c r="S239" s="533"/>
      <c r="T239" s="533"/>
      <c r="U239" s="533"/>
      <c r="V239" s="533"/>
      <c r="W239" s="533"/>
      <c r="X239" s="533"/>
      <c r="Y239" s="533"/>
      <c r="Z239" s="533"/>
      <c r="AA239" s="533"/>
      <c r="AB239" s="533"/>
      <c r="AC239" s="533"/>
      <c r="AD239" s="533"/>
      <c r="AE239" s="533"/>
      <c r="AF239" s="533"/>
      <c r="AG239" s="533"/>
      <c r="AH239" s="533"/>
      <c r="AI239" s="533"/>
      <c r="AJ239" s="533"/>
      <c r="AK239" s="533"/>
      <c r="AL239" s="533"/>
      <c r="AM239" s="533"/>
      <c r="AN239" s="533"/>
      <c r="AO239" s="533"/>
      <c r="AP239" s="533"/>
      <c r="AQ239" s="533"/>
      <c r="AR239" s="533"/>
      <c r="AS239" s="533"/>
      <c r="AT239" s="533"/>
      <c r="AU239" s="533"/>
      <c r="AV239" s="533"/>
      <c r="AW239" s="533"/>
      <c r="AX239" s="533"/>
      <c r="AY239" s="533"/>
      <c r="AZ239" s="533"/>
      <c r="BA239" s="533"/>
      <c r="BB239" s="533"/>
      <c r="BC239" s="533"/>
      <c r="BD239" s="533"/>
      <c r="BE239" s="540"/>
      <c r="BF239" s="540"/>
      <c r="BG239" s="533"/>
      <c r="BH239" s="531"/>
      <c r="BI239" s="532"/>
      <c r="BJ239" s="533"/>
      <c r="BK239" s="533"/>
      <c r="BL239" s="533"/>
      <c r="BM239" s="533"/>
    </row>
    <row r="240" spans="4:65" s="518" customFormat="1">
      <c r="D240" s="772"/>
      <c r="E240" s="772"/>
      <c r="F240" s="522"/>
      <c r="G240" s="517"/>
      <c r="H240" s="519"/>
      <c r="I240" s="533"/>
      <c r="J240" s="533"/>
      <c r="K240" s="533"/>
      <c r="L240" s="533"/>
      <c r="M240" s="533"/>
      <c r="N240" s="533"/>
      <c r="O240" s="533"/>
      <c r="P240" s="533"/>
      <c r="Q240" s="533"/>
      <c r="R240" s="533"/>
      <c r="S240" s="533"/>
      <c r="T240" s="533"/>
      <c r="U240" s="533"/>
      <c r="V240" s="533"/>
      <c r="W240" s="533"/>
      <c r="X240" s="533"/>
      <c r="Y240" s="533"/>
      <c r="Z240" s="533"/>
      <c r="AA240" s="533"/>
      <c r="AB240" s="533"/>
      <c r="AC240" s="533"/>
      <c r="AD240" s="533"/>
      <c r="AE240" s="533"/>
      <c r="AF240" s="533"/>
      <c r="AG240" s="533"/>
      <c r="AH240" s="533"/>
      <c r="AI240" s="533"/>
      <c r="AJ240" s="533"/>
      <c r="AK240" s="533"/>
      <c r="AL240" s="533"/>
      <c r="AM240" s="533"/>
      <c r="AN240" s="533"/>
      <c r="AO240" s="533"/>
      <c r="AP240" s="533"/>
      <c r="AQ240" s="533"/>
      <c r="AR240" s="533"/>
      <c r="AS240" s="533"/>
      <c r="AT240" s="533"/>
      <c r="AU240" s="533"/>
      <c r="AV240" s="533"/>
      <c r="AW240" s="533"/>
      <c r="AX240" s="533"/>
      <c r="AY240" s="533"/>
      <c r="AZ240" s="533"/>
      <c r="BA240" s="533"/>
      <c r="BB240" s="533"/>
      <c r="BC240" s="533"/>
      <c r="BD240" s="533"/>
      <c r="BE240" s="540"/>
      <c r="BF240" s="540"/>
      <c r="BG240" s="533"/>
      <c r="BH240" s="531"/>
      <c r="BI240" s="532"/>
      <c r="BJ240" s="533"/>
      <c r="BK240" s="533"/>
      <c r="BL240" s="533"/>
      <c r="BM240" s="533"/>
    </row>
    <row r="241" spans="4:65" s="518" customFormat="1">
      <c r="D241" s="772"/>
      <c r="E241" s="772"/>
      <c r="F241" s="522"/>
      <c r="G241" s="517"/>
      <c r="H241" s="519"/>
      <c r="I241" s="533"/>
      <c r="J241" s="533"/>
      <c r="K241" s="533"/>
      <c r="L241" s="533"/>
      <c r="M241" s="533"/>
      <c r="N241" s="533"/>
      <c r="O241" s="533"/>
      <c r="P241" s="533"/>
      <c r="Q241" s="533"/>
      <c r="R241" s="533"/>
      <c r="S241" s="533"/>
      <c r="T241" s="533"/>
      <c r="U241" s="533"/>
      <c r="V241" s="533"/>
      <c r="W241" s="533"/>
      <c r="X241" s="533"/>
      <c r="Y241" s="533"/>
      <c r="Z241" s="533"/>
      <c r="AA241" s="533"/>
      <c r="AB241" s="533"/>
      <c r="AC241" s="533"/>
      <c r="AD241" s="533"/>
      <c r="AE241" s="533"/>
      <c r="AF241" s="533"/>
      <c r="AG241" s="533"/>
      <c r="AH241" s="533"/>
      <c r="AI241" s="533"/>
      <c r="AJ241" s="533"/>
      <c r="AK241" s="533"/>
      <c r="AL241" s="533"/>
      <c r="AM241" s="533"/>
      <c r="AN241" s="533"/>
      <c r="AO241" s="533"/>
      <c r="AP241" s="533"/>
      <c r="AQ241" s="533"/>
      <c r="AR241" s="533"/>
      <c r="AS241" s="533"/>
      <c r="AT241" s="533"/>
      <c r="AU241" s="533"/>
      <c r="AV241" s="533"/>
      <c r="AW241" s="533"/>
      <c r="AX241" s="533"/>
      <c r="AY241" s="533"/>
      <c r="AZ241" s="533"/>
      <c r="BA241" s="533"/>
      <c r="BB241" s="533"/>
      <c r="BC241" s="533"/>
      <c r="BD241" s="533"/>
      <c r="BE241" s="540"/>
      <c r="BF241" s="540"/>
      <c r="BG241" s="533"/>
      <c r="BH241" s="531"/>
      <c r="BI241" s="532"/>
      <c r="BJ241" s="533"/>
      <c r="BK241" s="533"/>
      <c r="BL241" s="533"/>
      <c r="BM241" s="533"/>
    </row>
    <row r="242" spans="4:65" s="518" customFormat="1">
      <c r="D242" s="772"/>
      <c r="E242" s="772"/>
      <c r="F242" s="522"/>
      <c r="G242" s="517"/>
      <c r="H242" s="519"/>
      <c r="I242" s="533"/>
      <c r="J242" s="533"/>
      <c r="K242" s="533"/>
      <c r="L242" s="533"/>
      <c r="M242" s="533"/>
      <c r="N242" s="533"/>
      <c r="O242" s="533"/>
      <c r="P242" s="533"/>
      <c r="Q242" s="533"/>
      <c r="R242" s="533"/>
      <c r="S242" s="533"/>
      <c r="T242" s="533"/>
      <c r="U242" s="533"/>
      <c r="V242" s="533"/>
      <c r="W242" s="533"/>
      <c r="X242" s="533"/>
      <c r="Y242" s="533"/>
      <c r="Z242" s="533"/>
      <c r="AA242" s="533"/>
      <c r="AB242" s="533"/>
      <c r="AC242" s="533"/>
      <c r="AD242" s="533"/>
      <c r="AE242" s="533"/>
      <c r="AF242" s="533"/>
      <c r="AG242" s="533"/>
      <c r="AH242" s="533"/>
      <c r="AI242" s="533"/>
      <c r="AJ242" s="533"/>
      <c r="AK242" s="533"/>
      <c r="AL242" s="533"/>
      <c r="AM242" s="533"/>
      <c r="AN242" s="533"/>
      <c r="AO242" s="533"/>
      <c r="AP242" s="533"/>
      <c r="AQ242" s="533"/>
      <c r="AR242" s="533"/>
      <c r="AS242" s="533"/>
      <c r="AT242" s="533"/>
      <c r="AU242" s="533"/>
      <c r="AV242" s="533"/>
      <c r="AW242" s="533"/>
      <c r="AX242" s="533"/>
      <c r="AY242" s="533"/>
      <c r="AZ242" s="533"/>
      <c r="BA242" s="533"/>
      <c r="BB242" s="533"/>
      <c r="BC242" s="533"/>
      <c r="BD242" s="533"/>
      <c r="BE242" s="540"/>
      <c r="BF242" s="540"/>
      <c r="BG242" s="533"/>
      <c r="BH242" s="531"/>
      <c r="BI242" s="532"/>
      <c r="BJ242" s="533"/>
      <c r="BK242" s="533"/>
      <c r="BL242" s="533"/>
      <c r="BM242" s="533"/>
    </row>
    <row r="243" spans="4:65" s="518" customFormat="1">
      <c r="D243" s="772"/>
      <c r="E243" s="772"/>
      <c r="F243" s="522"/>
      <c r="G243" s="517"/>
      <c r="H243" s="519"/>
      <c r="I243" s="533"/>
      <c r="J243" s="533"/>
      <c r="K243" s="533"/>
      <c r="L243" s="533"/>
      <c r="M243" s="533"/>
      <c r="N243" s="533"/>
      <c r="O243" s="533"/>
      <c r="P243" s="533"/>
      <c r="Q243" s="533"/>
      <c r="R243" s="533"/>
      <c r="S243" s="533"/>
      <c r="T243" s="533"/>
      <c r="U243" s="533"/>
      <c r="V243" s="533"/>
      <c r="W243" s="533"/>
      <c r="X243" s="533"/>
      <c r="Y243" s="533"/>
      <c r="Z243" s="533"/>
      <c r="AA243" s="533"/>
      <c r="AB243" s="533"/>
      <c r="AC243" s="533"/>
      <c r="AD243" s="533"/>
      <c r="AE243" s="533"/>
      <c r="AF243" s="533"/>
      <c r="AG243" s="533"/>
      <c r="AH243" s="533"/>
      <c r="AI243" s="533"/>
      <c r="AJ243" s="533"/>
      <c r="AK243" s="533"/>
      <c r="AL243" s="533"/>
      <c r="AM243" s="533"/>
      <c r="AN243" s="533"/>
      <c r="AO243" s="533"/>
      <c r="AP243" s="533"/>
      <c r="AQ243" s="533"/>
      <c r="AR243" s="533"/>
      <c r="AS243" s="533"/>
      <c r="AT243" s="533"/>
      <c r="AU243" s="533"/>
      <c r="AV243" s="533"/>
      <c r="AW243" s="533"/>
      <c r="AX243" s="533"/>
      <c r="AY243" s="533"/>
      <c r="AZ243" s="533"/>
      <c r="BA243" s="533"/>
      <c r="BB243" s="533"/>
      <c r="BC243" s="533"/>
      <c r="BD243" s="533"/>
      <c r="BE243" s="540"/>
      <c r="BF243" s="540"/>
      <c r="BG243" s="533"/>
      <c r="BH243" s="531"/>
      <c r="BI243" s="532"/>
      <c r="BJ243" s="533"/>
      <c r="BK243" s="533"/>
      <c r="BL243" s="533"/>
      <c r="BM243" s="533"/>
    </row>
    <row r="244" spans="4:65" s="518" customFormat="1">
      <c r="D244" s="772"/>
      <c r="E244" s="772"/>
      <c r="F244" s="522"/>
      <c r="G244" s="517"/>
      <c r="H244" s="519"/>
      <c r="I244" s="533"/>
      <c r="J244" s="533"/>
      <c r="K244" s="533"/>
      <c r="L244" s="533"/>
      <c r="M244" s="533"/>
      <c r="N244" s="533"/>
      <c r="O244" s="533"/>
      <c r="P244" s="533"/>
      <c r="Q244" s="533"/>
      <c r="R244" s="533"/>
      <c r="S244" s="533"/>
      <c r="T244" s="533"/>
      <c r="U244" s="533"/>
      <c r="V244" s="533"/>
      <c r="W244" s="533"/>
      <c r="X244" s="533"/>
      <c r="Y244" s="533"/>
      <c r="Z244" s="533"/>
      <c r="AA244" s="533"/>
      <c r="AB244" s="533"/>
      <c r="AC244" s="533"/>
      <c r="AD244" s="533"/>
      <c r="AE244" s="533"/>
      <c r="AF244" s="533"/>
      <c r="AG244" s="533"/>
      <c r="AH244" s="533"/>
      <c r="AI244" s="533"/>
      <c r="AJ244" s="533"/>
      <c r="AK244" s="533"/>
      <c r="AL244" s="533"/>
      <c r="AM244" s="533"/>
      <c r="AN244" s="533"/>
      <c r="AO244" s="533"/>
      <c r="AP244" s="533"/>
      <c r="AQ244" s="533"/>
      <c r="AR244" s="533"/>
      <c r="AS244" s="533"/>
      <c r="AT244" s="533"/>
      <c r="AU244" s="533"/>
      <c r="AV244" s="533"/>
      <c r="AW244" s="533"/>
      <c r="AX244" s="533"/>
      <c r="AY244" s="533"/>
      <c r="AZ244" s="533"/>
      <c r="BA244" s="533"/>
      <c r="BB244" s="533"/>
      <c r="BC244" s="533"/>
      <c r="BD244" s="533"/>
      <c r="BE244" s="540"/>
      <c r="BF244" s="540"/>
      <c r="BG244" s="533"/>
      <c r="BH244" s="531"/>
      <c r="BI244" s="532"/>
      <c r="BJ244" s="533"/>
      <c r="BK244" s="533"/>
      <c r="BL244" s="533"/>
      <c r="BM244" s="533"/>
    </row>
    <row r="245" spans="4:65" s="518" customFormat="1">
      <c r="D245" s="772"/>
      <c r="E245" s="772"/>
      <c r="F245" s="522"/>
      <c r="G245" s="517"/>
      <c r="H245" s="519"/>
      <c r="I245" s="533"/>
      <c r="J245" s="533"/>
      <c r="K245" s="533"/>
      <c r="L245" s="533"/>
      <c r="M245" s="533"/>
      <c r="N245" s="533"/>
      <c r="O245" s="533"/>
      <c r="P245" s="533"/>
      <c r="Q245" s="533"/>
      <c r="R245" s="533"/>
      <c r="S245" s="533"/>
      <c r="T245" s="533"/>
      <c r="U245" s="533"/>
      <c r="V245" s="533"/>
      <c r="W245" s="533"/>
      <c r="X245" s="533"/>
      <c r="Y245" s="533"/>
      <c r="Z245" s="533"/>
      <c r="AA245" s="533"/>
      <c r="AB245" s="533"/>
      <c r="AC245" s="533"/>
      <c r="AD245" s="533"/>
      <c r="AE245" s="533"/>
      <c r="AF245" s="533"/>
      <c r="AG245" s="533"/>
      <c r="AH245" s="533"/>
      <c r="AI245" s="533"/>
      <c r="AJ245" s="533"/>
      <c r="AK245" s="533"/>
      <c r="AL245" s="533"/>
      <c r="AM245" s="533"/>
      <c r="AN245" s="533"/>
      <c r="AO245" s="533"/>
      <c r="AP245" s="533"/>
      <c r="AQ245" s="533"/>
      <c r="AR245" s="533"/>
      <c r="AS245" s="533"/>
      <c r="AT245" s="533"/>
      <c r="AU245" s="533"/>
      <c r="AV245" s="533"/>
      <c r="AW245" s="533"/>
      <c r="AX245" s="533"/>
      <c r="AY245" s="533"/>
      <c r="AZ245" s="533"/>
      <c r="BA245" s="533"/>
      <c r="BB245" s="533"/>
      <c r="BC245" s="533"/>
      <c r="BD245" s="533"/>
      <c r="BE245" s="540"/>
      <c r="BF245" s="540"/>
      <c r="BG245" s="533"/>
      <c r="BH245" s="531"/>
      <c r="BI245" s="532"/>
      <c r="BJ245" s="533"/>
      <c r="BK245" s="533"/>
      <c r="BL245" s="533"/>
      <c r="BM245" s="533"/>
    </row>
    <row r="246" spans="4:65" s="518" customFormat="1">
      <c r="D246" s="772"/>
      <c r="E246" s="772"/>
      <c r="F246" s="522"/>
      <c r="G246" s="517"/>
      <c r="H246" s="519"/>
      <c r="I246" s="533"/>
      <c r="J246" s="533"/>
      <c r="K246" s="533"/>
      <c r="L246" s="533"/>
      <c r="M246" s="533"/>
      <c r="N246" s="533"/>
      <c r="O246" s="533"/>
      <c r="P246" s="533"/>
      <c r="Q246" s="533"/>
      <c r="R246" s="533"/>
      <c r="S246" s="533"/>
      <c r="T246" s="533"/>
      <c r="U246" s="533"/>
      <c r="V246" s="533"/>
      <c r="W246" s="533"/>
      <c r="X246" s="533"/>
      <c r="Y246" s="533"/>
      <c r="Z246" s="533"/>
      <c r="AA246" s="533"/>
      <c r="AB246" s="533"/>
      <c r="AC246" s="533"/>
      <c r="AD246" s="533"/>
      <c r="AE246" s="533"/>
      <c r="AF246" s="533"/>
      <c r="AG246" s="533"/>
      <c r="AH246" s="533"/>
      <c r="AI246" s="533"/>
      <c r="AJ246" s="533"/>
      <c r="AK246" s="533"/>
      <c r="AL246" s="533"/>
      <c r="AM246" s="533"/>
      <c r="AN246" s="533"/>
      <c r="AO246" s="533"/>
      <c r="AP246" s="533"/>
      <c r="AQ246" s="533"/>
      <c r="AR246" s="533"/>
      <c r="AS246" s="533"/>
      <c r="AT246" s="533"/>
      <c r="AU246" s="533"/>
      <c r="AV246" s="533"/>
      <c r="AW246" s="533"/>
      <c r="AX246" s="533"/>
      <c r="AY246" s="533"/>
      <c r="AZ246" s="533"/>
      <c r="BA246" s="533"/>
      <c r="BB246" s="533"/>
      <c r="BC246" s="533"/>
      <c r="BD246" s="533"/>
      <c r="BE246" s="540"/>
      <c r="BF246" s="540"/>
      <c r="BG246" s="533"/>
      <c r="BH246" s="531"/>
      <c r="BI246" s="532"/>
      <c r="BJ246" s="533"/>
      <c r="BK246" s="533"/>
      <c r="BL246" s="533"/>
      <c r="BM246" s="533"/>
    </row>
    <row r="247" spans="4:65" s="518" customFormat="1">
      <c r="D247" s="772"/>
      <c r="E247" s="772"/>
      <c r="F247" s="522"/>
      <c r="G247" s="517"/>
      <c r="H247" s="519"/>
      <c r="I247" s="533"/>
      <c r="J247" s="533"/>
      <c r="K247" s="533"/>
      <c r="L247" s="533"/>
      <c r="M247" s="533"/>
      <c r="N247" s="533"/>
      <c r="O247" s="533"/>
      <c r="P247" s="533"/>
      <c r="Q247" s="533"/>
      <c r="R247" s="533"/>
      <c r="S247" s="533"/>
      <c r="T247" s="533"/>
      <c r="U247" s="533"/>
      <c r="V247" s="533"/>
      <c r="W247" s="533"/>
      <c r="X247" s="533"/>
      <c r="Y247" s="533"/>
      <c r="Z247" s="533"/>
      <c r="AA247" s="533"/>
      <c r="AB247" s="533"/>
      <c r="AC247" s="533"/>
      <c r="AD247" s="533"/>
      <c r="AE247" s="533"/>
      <c r="AF247" s="533"/>
      <c r="AG247" s="533"/>
      <c r="AH247" s="533"/>
      <c r="AI247" s="533"/>
      <c r="AJ247" s="533"/>
      <c r="AK247" s="533"/>
      <c r="AL247" s="533"/>
      <c r="AM247" s="533"/>
      <c r="AN247" s="533"/>
      <c r="AO247" s="533"/>
      <c r="AP247" s="533"/>
      <c r="AQ247" s="533"/>
      <c r="AR247" s="533"/>
      <c r="AS247" s="533"/>
      <c r="AT247" s="533"/>
      <c r="AU247" s="533"/>
      <c r="AV247" s="533"/>
      <c r="AW247" s="533"/>
      <c r="AX247" s="533"/>
      <c r="AY247" s="533"/>
      <c r="AZ247" s="533"/>
      <c r="BA247" s="533"/>
      <c r="BB247" s="533"/>
      <c r="BC247" s="533"/>
      <c r="BD247" s="533"/>
      <c r="BE247" s="540"/>
      <c r="BF247" s="540"/>
      <c r="BG247" s="533"/>
      <c r="BH247" s="531"/>
      <c r="BI247" s="532"/>
      <c r="BJ247" s="533"/>
      <c r="BK247" s="533"/>
      <c r="BL247" s="533"/>
      <c r="BM247" s="533"/>
    </row>
    <row r="248" spans="4:65" s="518" customFormat="1">
      <c r="D248" s="772"/>
      <c r="E248" s="772"/>
      <c r="F248" s="522"/>
      <c r="G248" s="517"/>
      <c r="H248" s="519"/>
      <c r="I248" s="533"/>
      <c r="J248" s="533"/>
      <c r="K248" s="533"/>
      <c r="L248" s="533"/>
      <c r="M248" s="533"/>
      <c r="N248" s="533"/>
      <c r="O248" s="533"/>
      <c r="P248" s="533"/>
      <c r="Q248" s="533"/>
      <c r="R248" s="533"/>
      <c r="S248" s="533"/>
      <c r="T248" s="533"/>
      <c r="U248" s="533"/>
      <c r="V248" s="533"/>
      <c r="W248" s="533"/>
      <c r="X248" s="533"/>
      <c r="Y248" s="533"/>
      <c r="Z248" s="533"/>
      <c r="AA248" s="533"/>
      <c r="AB248" s="533"/>
      <c r="AC248" s="533"/>
      <c r="AD248" s="533"/>
      <c r="AE248" s="533"/>
      <c r="AF248" s="533"/>
      <c r="AG248" s="533"/>
      <c r="AH248" s="533"/>
      <c r="AI248" s="533"/>
      <c r="AJ248" s="533"/>
      <c r="AK248" s="533"/>
      <c r="AL248" s="533"/>
      <c r="AM248" s="533"/>
      <c r="AN248" s="533"/>
      <c r="AO248" s="533"/>
      <c r="AP248" s="533"/>
      <c r="AQ248" s="533"/>
      <c r="AR248" s="533"/>
      <c r="AS248" s="533"/>
      <c r="AT248" s="533"/>
      <c r="AU248" s="533"/>
      <c r="AV248" s="533"/>
      <c r="AW248" s="533"/>
      <c r="AX248" s="533"/>
      <c r="AY248" s="533"/>
      <c r="AZ248" s="533"/>
      <c r="BA248" s="533"/>
      <c r="BB248" s="533"/>
      <c r="BC248" s="533"/>
      <c r="BD248" s="533"/>
      <c r="BE248" s="540"/>
      <c r="BF248" s="540"/>
      <c r="BG248" s="533"/>
      <c r="BH248" s="531"/>
      <c r="BI248" s="532"/>
      <c r="BJ248" s="533"/>
      <c r="BK248" s="533"/>
      <c r="BL248" s="533"/>
      <c r="BM248" s="533"/>
    </row>
    <row r="249" spans="4:65" s="518" customFormat="1">
      <c r="D249" s="772"/>
      <c r="E249" s="772"/>
      <c r="F249" s="522"/>
      <c r="G249" s="517"/>
      <c r="H249" s="519"/>
      <c r="I249" s="533"/>
      <c r="J249" s="533"/>
      <c r="K249" s="533"/>
      <c r="L249" s="533"/>
      <c r="M249" s="533"/>
      <c r="N249" s="533"/>
      <c r="O249" s="533"/>
      <c r="P249" s="533"/>
      <c r="Q249" s="533"/>
      <c r="R249" s="533"/>
      <c r="S249" s="533"/>
      <c r="T249" s="533"/>
      <c r="U249" s="533"/>
      <c r="V249" s="533"/>
      <c r="W249" s="533"/>
      <c r="X249" s="533"/>
      <c r="Y249" s="533"/>
      <c r="Z249" s="533"/>
      <c r="AA249" s="533"/>
      <c r="AB249" s="533"/>
      <c r="AC249" s="533"/>
      <c r="AD249" s="533"/>
      <c r="AE249" s="533"/>
      <c r="AF249" s="533"/>
      <c r="AG249" s="533"/>
      <c r="AH249" s="533"/>
      <c r="AI249" s="533"/>
      <c r="AJ249" s="533"/>
      <c r="AK249" s="533"/>
      <c r="AL249" s="533"/>
      <c r="AM249" s="533"/>
      <c r="AN249" s="533"/>
      <c r="AO249" s="533"/>
      <c r="AP249" s="533"/>
      <c r="AQ249" s="533"/>
      <c r="AR249" s="533"/>
      <c r="AS249" s="533"/>
      <c r="AT249" s="533"/>
      <c r="AU249" s="533"/>
      <c r="AV249" s="533"/>
      <c r="AW249" s="533"/>
      <c r="AX249" s="533"/>
      <c r="AY249" s="533"/>
      <c r="AZ249" s="533"/>
      <c r="BA249" s="533"/>
      <c r="BB249" s="533"/>
      <c r="BC249" s="533"/>
      <c r="BD249" s="533"/>
      <c r="BE249" s="540"/>
      <c r="BF249" s="540"/>
      <c r="BG249" s="533"/>
      <c r="BH249" s="531"/>
      <c r="BI249" s="532"/>
      <c r="BJ249" s="533"/>
      <c r="BK249" s="533"/>
      <c r="BL249" s="533"/>
      <c r="BM249" s="533"/>
    </row>
    <row r="250" spans="4:65" s="518" customFormat="1">
      <c r="D250" s="772"/>
      <c r="E250" s="772"/>
      <c r="F250" s="522"/>
      <c r="G250" s="517"/>
      <c r="H250" s="519"/>
      <c r="I250" s="533"/>
      <c r="J250" s="533"/>
      <c r="K250" s="533"/>
      <c r="L250" s="533"/>
      <c r="M250" s="533"/>
      <c r="N250" s="533"/>
      <c r="O250" s="533"/>
      <c r="P250" s="533"/>
      <c r="Q250" s="533"/>
      <c r="R250" s="533"/>
      <c r="S250" s="533"/>
      <c r="T250" s="533"/>
      <c r="U250" s="533"/>
      <c r="V250" s="533"/>
      <c r="W250" s="533"/>
      <c r="X250" s="533"/>
      <c r="Y250" s="533"/>
      <c r="Z250" s="533"/>
      <c r="AA250" s="533"/>
      <c r="AB250" s="533"/>
      <c r="AC250" s="533"/>
      <c r="AD250" s="533"/>
      <c r="AE250" s="533"/>
      <c r="AF250" s="533"/>
      <c r="AG250" s="533"/>
      <c r="AH250" s="533"/>
      <c r="AI250" s="533"/>
      <c r="AJ250" s="533"/>
      <c r="AK250" s="533"/>
      <c r="AL250" s="533"/>
      <c r="AM250" s="533"/>
      <c r="AN250" s="533"/>
      <c r="AO250" s="533"/>
      <c r="AP250" s="533"/>
      <c r="AQ250" s="533"/>
      <c r="AR250" s="533"/>
      <c r="AS250" s="533"/>
      <c r="AT250" s="533"/>
      <c r="AU250" s="533"/>
      <c r="AV250" s="533"/>
      <c r="AW250" s="533"/>
      <c r="AX250" s="533"/>
      <c r="AY250" s="533"/>
      <c r="AZ250" s="533"/>
      <c r="BA250" s="533"/>
      <c r="BB250" s="533"/>
      <c r="BC250" s="533"/>
      <c r="BD250" s="533"/>
      <c r="BE250" s="540"/>
      <c r="BF250" s="540"/>
      <c r="BG250" s="533"/>
      <c r="BH250" s="531"/>
      <c r="BI250" s="532"/>
      <c r="BJ250" s="533"/>
      <c r="BK250" s="533"/>
      <c r="BL250" s="533"/>
      <c r="BM250" s="533"/>
    </row>
    <row r="251" spans="4:65" s="518" customFormat="1">
      <c r="D251" s="772"/>
      <c r="E251" s="772"/>
      <c r="F251" s="522"/>
      <c r="G251" s="517"/>
      <c r="H251" s="519"/>
      <c r="I251" s="533"/>
      <c r="J251" s="533"/>
      <c r="K251" s="533"/>
      <c r="L251" s="533"/>
      <c r="M251" s="533"/>
      <c r="N251" s="533"/>
      <c r="O251" s="533"/>
      <c r="P251" s="533"/>
      <c r="Q251" s="533"/>
      <c r="R251" s="533"/>
      <c r="S251" s="533"/>
      <c r="T251" s="533"/>
      <c r="U251" s="533"/>
      <c r="V251" s="533"/>
      <c r="W251" s="533"/>
      <c r="X251" s="533"/>
      <c r="Y251" s="533"/>
      <c r="Z251" s="533"/>
      <c r="AA251" s="533"/>
      <c r="AB251" s="533"/>
      <c r="AC251" s="533"/>
      <c r="AD251" s="533"/>
      <c r="AE251" s="533"/>
      <c r="AF251" s="533"/>
      <c r="AG251" s="533"/>
      <c r="AH251" s="533"/>
      <c r="AI251" s="533"/>
      <c r="AJ251" s="533"/>
      <c r="AK251" s="533"/>
      <c r="AL251" s="533"/>
      <c r="AM251" s="533"/>
      <c r="AN251" s="533"/>
      <c r="AO251" s="533"/>
      <c r="AP251" s="533"/>
      <c r="AQ251" s="533"/>
      <c r="AR251" s="533"/>
      <c r="AS251" s="533"/>
      <c r="AT251" s="533"/>
      <c r="AU251" s="533"/>
      <c r="AV251" s="533"/>
      <c r="AW251" s="533"/>
      <c r="AX251" s="533"/>
      <c r="AY251" s="533"/>
      <c r="AZ251" s="533"/>
      <c r="BA251" s="533"/>
      <c r="BB251" s="533"/>
      <c r="BC251" s="533"/>
      <c r="BD251" s="533"/>
      <c r="BE251" s="540"/>
      <c r="BF251" s="540"/>
      <c r="BG251" s="533"/>
      <c r="BH251" s="531"/>
      <c r="BI251" s="532"/>
      <c r="BJ251" s="533"/>
      <c r="BK251" s="533"/>
      <c r="BL251" s="533"/>
      <c r="BM251" s="533"/>
    </row>
    <row r="252" spans="4:65" s="518" customFormat="1">
      <c r="D252" s="772"/>
      <c r="E252" s="772"/>
      <c r="F252" s="522"/>
      <c r="G252" s="517"/>
      <c r="H252" s="519"/>
      <c r="I252" s="533"/>
      <c r="J252" s="533"/>
      <c r="K252" s="533"/>
      <c r="L252" s="533"/>
      <c r="M252" s="533"/>
      <c r="N252" s="533"/>
      <c r="O252" s="533"/>
      <c r="P252" s="533"/>
      <c r="Q252" s="533"/>
      <c r="R252" s="533"/>
      <c r="S252" s="533"/>
      <c r="T252" s="533"/>
      <c r="U252" s="533"/>
      <c r="V252" s="533"/>
      <c r="W252" s="533"/>
      <c r="X252" s="533"/>
      <c r="Y252" s="533"/>
      <c r="Z252" s="533"/>
      <c r="AA252" s="533"/>
      <c r="AB252" s="533"/>
      <c r="AC252" s="533"/>
      <c r="AD252" s="533"/>
      <c r="AE252" s="533"/>
      <c r="AF252" s="533"/>
      <c r="AG252" s="533"/>
      <c r="AH252" s="533"/>
      <c r="AI252" s="533"/>
      <c r="AJ252" s="533"/>
      <c r="AK252" s="533"/>
      <c r="AL252" s="533"/>
      <c r="AM252" s="533"/>
      <c r="AN252" s="533"/>
      <c r="AO252" s="533"/>
      <c r="AP252" s="533"/>
      <c r="AQ252" s="533"/>
      <c r="AR252" s="533"/>
      <c r="AS252" s="533"/>
      <c r="AT252" s="533"/>
      <c r="AU252" s="533"/>
      <c r="AV252" s="533"/>
      <c r="AW252" s="533"/>
      <c r="AX252" s="533"/>
      <c r="AY252" s="533"/>
      <c r="AZ252" s="533"/>
      <c r="BA252" s="533"/>
      <c r="BB252" s="533"/>
      <c r="BC252" s="533"/>
      <c r="BD252" s="533"/>
      <c r="BE252" s="540"/>
      <c r="BF252" s="540"/>
      <c r="BG252" s="533"/>
      <c r="BH252" s="531"/>
      <c r="BI252" s="532"/>
      <c r="BJ252" s="533"/>
      <c r="BK252" s="533"/>
      <c r="BL252" s="533"/>
      <c r="BM252" s="533"/>
    </row>
  </sheetData>
  <mergeCells count="186">
    <mergeCell ref="D73:E73"/>
    <mergeCell ref="D74:E74"/>
    <mergeCell ref="D75:E75"/>
    <mergeCell ref="D1:E1"/>
    <mergeCell ref="D2:E2"/>
    <mergeCell ref="D3:E3"/>
    <mergeCell ref="D4:E4"/>
    <mergeCell ref="D5:E5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50:E250"/>
    <mergeCell ref="D251:E251"/>
    <mergeCell ref="D252:E252"/>
    <mergeCell ref="BG1:BG5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26:E226"/>
    <mergeCell ref="D227:E227"/>
  </mergeCells>
  <pageMargins left="0.7" right="0.7" top="0.75" bottom="0.75" header="0.3" footer="0.3"/>
  <pageSetup paperSize="9" scale="1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altText="" r:id="rId5">
            <anchor moveWithCells="1">
              <from>
                <xdr:col>1</xdr:col>
                <xdr:colOff>297180</xdr:colOff>
                <xdr:row>0</xdr:row>
                <xdr:rowOff>22860</xdr:rowOff>
              </from>
              <to>
                <xdr:col>1</xdr:col>
                <xdr:colOff>320040</xdr:colOff>
                <xdr:row>0</xdr:row>
                <xdr:rowOff>45720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altText="" r:id="rId7">
            <anchor moveWithCells="1">
              <from>
                <xdr:col>1</xdr:col>
                <xdr:colOff>297180</xdr:colOff>
                <xdr:row>1</xdr:row>
                <xdr:rowOff>45720</xdr:rowOff>
              </from>
              <to>
                <xdr:col>1</xdr:col>
                <xdr:colOff>335280</xdr:colOff>
                <xdr:row>1</xdr:row>
                <xdr:rowOff>91440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altText="" r:id="rId9">
            <anchor moveWithCells="1">
              <from>
                <xdr:col>1</xdr:col>
                <xdr:colOff>297180</xdr:colOff>
                <xdr:row>2</xdr:row>
                <xdr:rowOff>38100</xdr:rowOff>
              </from>
              <to>
                <xdr:col>1</xdr:col>
                <xdr:colOff>335280</xdr:colOff>
                <xdr:row>2</xdr:row>
                <xdr:rowOff>83820</xdr:rowOff>
              </to>
            </anchor>
          </controlPr>
        </control>
      </mc:Choice>
      <mc:Fallback>
        <control shapeId="1027" r:id="rId8" name="CheckBox3"/>
      </mc:Fallback>
    </mc:AlternateContent>
  </controls>
  <tableParts count="3">
    <tablePart r:id="rId10"/>
    <tablePart r:id="rId11"/>
    <tablePart r:id="rId1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ule______12">
    <pageSetUpPr fitToPage="1"/>
  </sheetPr>
  <dimension ref="A1:BM232"/>
  <sheetViews>
    <sheetView rightToLeft="1" zoomScaleNormal="100" workbookViewId="0">
      <selection activeCell="C3" sqref="C3"/>
    </sheetView>
  </sheetViews>
  <sheetFormatPr defaultColWidth="9" defaultRowHeight="14.4"/>
  <cols>
    <col min="1" max="1" width="15" style="518" customWidth="1"/>
    <col min="2" max="2" width="8.59765625" style="518" customWidth="1"/>
    <col min="3" max="3" width="22.8984375" style="518" bestFit="1" customWidth="1"/>
    <col min="4" max="4" width="17.19921875" style="518" bestFit="1" customWidth="1"/>
    <col min="5" max="5" width="9.796875" style="518" hidden="1" customWidth="1"/>
    <col min="6" max="6" width="10.69921875" style="522" customWidth="1"/>
    <col min="7" max="7" width="8.69921875" style="517" customWidth="1"/>
    <col min="8" max="8" width="8.69921875" style="519" customWidth="1"/>
    <col min="9" max="56" width="8.69921875" style="533" customWidth="1"/>
    <col min="57" max="58" width="9.59765625" style="540" customWidth="1"/>
    <col min="59" max="59" width="14.59765625" style="533" customWidth="1"/>
    <col min="60" max="60" width="9" style="531"/>
    <col min="61" max="61" width="9.8984375" style="532" customWidth="1"/>
    <col min="62" max="62" width="9" style="533"/>
    <col min="63" max="64" width="11.19921875" style="533" customWidth="1"/>
    <col min="65" max="16384" width="9" style="533"/>
  </cols>
  <sheetData>
    <row r="1" spans="1:64" ht="75.75" customHeight="1">
      <c r="C1" s="526"/>
      <c r="D1" s="774" t="s">
        <v>909</v>
      </c>
      <c r="E1" s="774"/>
      <c r="F1" s="777"/>
      <c r="G1" s="545"/>
      <c r="H1" s="545"/>
      <c r="I1" s="511"/>
      <c r="J1" s="511"/>
      <c r="K1" s="545"/>
      <c r="L1" s="545"/>
      <c r="M1" s="545"/>
      <c r="N1" s="545"/>
      <c r="O1" s="545"/>
      <c r="P1" s="511"/>
      <c r="Q1" s="511"/>
      <c r="R1" s="511"/>
      <c r="S1" s="511"/>
      <c r="T1" s="511"/>
      <c r="U1" s="511"/>
      <c r="V1" s="545"/>
      <c r="W1" s="545"/>
      <c r="X1" s="511"/>
      <c r="Y1" s="511"/>
      <c r="Z1" s="511"/>
      <c r="AA1" s="511"/>
      <c r="AB1" s="511"/>
      <c r="AC1" s="511"/>
      <c r="AD1" s="511"/>
      <c r="AE1" s="511"/>
      <c r="AF1" s="545"/>
      <c r="AG1" s="545"/>
      <c r="AH1" s="545"/>
      <c r="AI1" s="545"/>
      <c r="AJ1" s="511"/>
      <c r="AK1" s="511"/>
      <c r="AL1" s="511"/>
      <c r="AM1" s="511"/>
      <c r="AN1" s="511"/>
      <c r="AO1" s="511"/>
      <c r="AP1" s="511"/>
      <c r="AQ1" s="542">
        <v>37</v>
      </c>
      <c r="AR1" s="542">
        <v>38</v>
      </c>
      <c r="AS1" s="542">
        <v>39</v>
      </c>
      <c r="AT1" s="542">
        <v>40</v>
      </c>
      <c r="AU1" s="542">
        <v>41</v>
      </c>
      <c r="AV1" s="542">
        <v>42</v>
      </c>
      <c r="AW1" s="542">
        <v>43</v>
      </c>
      <c r="AX1" s="542">
        <v>44</v>
      </c>
      <c r="AY1" s="542">
        <v>45</v>
      </c>
      <c r="AZ1" s="542">
        <v>46</v>
      </c>
      <c r="BA1" s="542">
        <v>47</v>
      </c>
      <c r="BB1" s="542">
        <v>48</v>
      </c>
      <c r="BC1" s="542">
        <v>49</v>
      </c>
      <c r="BD1" s="542">
        <v>50</v>
      </c>
      <c r="BE1" s="541" t="s">
        <v>22</v>
      </c>
      <c r="BF1" s="541"/>
      <c r="BG1" s="773"/>
    </row>
    <row r="2" spans="1:64" ht="15" customHeight="1">
      <c r="C2" s="526"/>
      <c r="D2" s="775" t="s">
        <v>444</v>
      </c>
      <c r="E2" s="776"/>
      <c r="F2" s="778"/>
      <c r="G2" s="543"/>
      <c r="H2" s="543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44">
        <f>SUM(G2:BC2)</f>
        <v>0</v>
      </c>
      <c r="BF2" s="544"/>
      <c r="BG2" s="773"/>
    </row>
    <row r="3" spans="1:64" ht="15" customHeight="1">
      <c r="C3" s="526"/>
      <c r="D3" s="775" t="s">
        <v>506</v>
      </c>
      <c r="E3" s="776"/>
      <c r="F3" s="778"/>
      <c r="G3" s="543"/>
      <c r="H3" s="543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44">
        <f>SUM(G3:BD3)</f>
        <v>0</v>
      </c>
      <c r="BF3" s="544"/>
      <c r="BG3" s="773"/>
    </row>
    <row r="4" spans="1:64" ht="15" customHeight="1">
      <c r="C4" s="526"/>
      <c r="D4" s="775" t="s">
        <v>173</v>
      </c>
      <c r="E4" s="776"/>
      <c r="F4" s="778"/>
      <c r="G4" s="543"/>
      <c r="H4" s="543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1"/>
      <c r="BE4" s="544">
        <f>SUM(G4:BD4)</f>
        <v>0</v>
      </c>
      <c r="BF4" s="544"/>
      <c r="BG4" s="773"/>
    </row>
    <row r="5" spans="1:64" ht="15" customHeight="1">
      <c r="A5" s="526"/>
      <c r="B5" s="526"/>
      <c r="C5" s="526"/>
      <c r="D5" s="775" t="s">
        <v>77</v>
      </c>
      <c r="E5" s="776"/>
      <c r="F5" s="779"/>
      <c r="G5" s="543"/>
      <c r="H5" s="543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44">
        <f>SUM(G5:BD5)</f>
        <v>0</v>
      </c>
      <c r="BF5" s="544"/>
      <c r="BG5" s="773"/>
    </row>
    <row r="6" spans="1:64">
      <c r="A6" s="518" t="s">
        <v>172</v>
      </c>
      <c r="B6" s="518" t="s">
        <v>179</v>
      </c>
      <c r="C6" s="526" t="s">
        <v>171</v>
      </c>
      <c r="D6" s="527" t="s">
        <v>10</v>
      </c>
      <c r="E6" s="527" t="s">
        <v>488</v>
      </c>
      <c r="F6" s="525" t="s">
        <v>634</v>
      </c>
      <c r="G6" s="528" t="s">
        <v>635</v>
      </c>
      <c r="H6" s="528" t="s">
        <v>636</v>
      </c>
      <c r="I6" s="528" t="s">
        <v>637</v>
      </c>
      <c r="J6" s="529" t="s">
        <v>638</v>
      </c>
      <c r="K6" s="528" t="s">
        <v>639</v>
      </c>
      <c r="L6" s="528" t="s">
        <v>640</v>
      </c>
      <c r="M6" s="528" t="s">
        <v>641</v>
      </c>
      <c r="N6" s="528" t="s">
        <v>642</v>
      </c>
      <c r="O6" s="529" t="s">
        <v>643</v>
      </c>
      <c r="P6" s="528" t="s">
        <v>644</v>
      </c>
      <c r="Q6" s="528" t="s">
        <v>645</v>
      </c>
      <c r="R6" s="528" t="s">
        <v>646</v>
      </c>
      <c r="S6" s="528" t="s">
        <v>647</v>
      </c>
      <c r="T6" s="529" t="s">
        <v>648</v>
      </c>
      <c r="U6" s="528" t="s">
        <v>649</v>
      </c>
      <c r="V6" s="528" t="s">
        <v>650</v>
      </c>
      <c r="W6" s="528" t="s">
        <v>651</v>
      </c>
      <c r="X6" s="528" t="s">
        <v>652</v>
      </c>
      <c r="Y6" s="529" t="s">
        <v>653</v>
      </c>
      <c r="Z6" s="528" t="s">
        <v>654</v>
      </c>
      <c r="AA6" s="528" t="s">
        <v>655</v>
      </c>
      <c r="AB6" s="528" t="s">
        <v>656</v>
      </c>
      <c r="AC6" s="528" t="s">
        <v>657</v>
      </c>
      <c r="AD6" s="529" t="s">
        <v>658</v>
      </c>
      <c r="AE6" s="528" t="s">
        <v>659</v>
      </c>
      <c r="AF6" s="528" t="s">
        <v>660</v>
      </c>
      <c r="AG6" s="528" t="s">
        <v>661</v>
      </c>
      <c r="AH6" s="528" t="s">
        <v>662</v>
      </c>
      <c r="AI6" s="529" t="s">
        <v>698</v>
      </c>
      <c r="AJ6" s="528" t="s">
        <v>663</v>
      </c>
      <c r="AK6" s="528" t="s">
        <v>664</v>
      </c>
      <c r="AL6" s="528" t="s">
        <v>665</v>
      </c>
      <c r="AM6" s="528" t="s">
        <v>666</v>
      </c>
      <c r="AN6" s="529" t="s">
        <v>699</v>
      </c>
      <c r="AO6" s="528" t="s">
        <v>749</v>
      </c>
      <c r="AP6" s="528" t="s">
        <v>750</v>
      </c>
      <c r="AQ6" s="528" t="s">
        <v>751</v>
      </c>
      <c r="AR6" s="528" t="s">
        <v>752</v>
      </c>
      <c r="AS6" s="529" t="s">
        <v>753</v>
      </c>
      <c r="AT6" s="528" t="s">
        <v>754</v>
      </c>
      <c r="AU6" s="528" t="s">
        <v>755</v>
      </c>
      <c r="AV6" s="528" t="s">
        <v>748</v>
      </c>
      <c r="AW6" s="528" t="s">
        <v>756</v>
      </c>
      <c r="AX6" s="529" t="s">
        <v>757</v>
      </c>
      <c r="AY6" s="528" t="s">
        <v>758</v>
      </c>
      <c r="AZ6" s="528" t="s">
        <v>759</v>
      </c>
      <c r="BA6" s="528" t="s">
        <v>760</v>
      </c>
      <c r="BB6" s="528" t="s">
        <v>761</v>
      </c>
      <c r="BC6" s="529" t="s">
        <v>762</v>
      </c>
      <c r="BD6" s="528" t="s">
        <v>763</v>
      </c>
      <c r="BE6" s="528" t="s">
        <v>22</v>
      </c>
      <c r="BF6" s="528" t="s">
        <v>667</v>
      </c>
      <c r="BG6" s="577" t="s">
        <v>922</v>
      </c>
      <c r="BH6" s="578" t="s">
        <v>923</v>
      </c>
      <c r="BI6" s="537"/>
      <c r="BJ6" s="535"/>
      <c r="BK6" s="535"/>
      <c r="BL6" s="535"/>
    </row>
    <row r="7" spans="1:64">
      <c r="A7" s="518" t="s">
        <v>1011</v>
      </c>
      <c r="B7" s="518">
        <v>522</v>
      </c>
      <c r="C7" s="518" t="s">
        <v>26</v>
      </c>
      <c r="D7" s="609" t="s">
        <v>888</v>
      </c>
      <c r="E7" s="609"/>
      <c r="F7" s="521">
        <f>1/4</f>
        <v>0.25</v>
      </c>
      <c r="G7" s="517">
        <f>ROUNDUP($F7*G$2,0)</f>
        <v>0</v>
      </c>
      <c r="H7" s="517">
        <f t="shared" ref="H7:BD7" si="0">ROUNDUP($F7*H$2,0)</f>
        <v>0</v>
      </c>
      <c r="I7" s="517">
        <f t="shared" si="0"/>
        <v>0</v>
      </c>
      <c r="J7" s="517">
        <f t="shared" si="0"/>
        <v>0</v>
      </c>
      <c r="K7" s="517">
        <f t="shared" si="0"/>
        <v>0</v>
      </c>
      <c r="L7" s="517">
        <f t="shared" si="0"/>
        <v>0</v>
      </c>
      <c r="M7" s="517">
        <f t="shared" ref="M7:T7" si="1">ROUNDUP($F7*M$2,0)</f>
        <v>0</v>
      </c>
      <c r="N7" s="517">
        <f t="shared" si="1"/>
        <v>0</v>
      </c>
      <c r="O7" s="517">
        <f t="shared" si="1"/>
        <v>0</v>
      </c>
      <c r="P7" s="517">
        <f t="shared" si="1"/>
        <v>0</v>
      </c>
      <c r="Q7" s="517">
        <f t="shared" si="1"/>
        <v>0</v>
      </c>
      <c r="R7" s="517">
        <f t="shared" si="1"/>
        <v>0</v>
      </c>
      <c r="S7" s="517">
        <f t="shared" si="1"/>
        <v>0</v>
      </c>
      <c r="T7" s="517">
        <f t="shared" si="1"/>
        <v>0</v>
      </c>
      <c r="U7" s="517">
        <f t="shared" si="0"/>
        <v>0</v>
      </c>
      <c r="V7" s="517">
        <f t="shared" si="0"/>
        <v>0</v>
      </c>
      <c r="W7" s="517">
        <f t="shared" si="0"/>
        <v>0</v>
      </c>
      <c r="X7" s="517">
        <f t="shared" si="0"/>
        <v>0</v>
      </c>
      <c r="Y7" s="517">
        <f t="shared" si="0"/>
        <v>0</v>
      </c>
      <c r="Z7" s="517">
        <f t="shared" si="0"/>
        <v>0</v>
      </c>
      <c r="AA7" s="517">
        <f t="shared" si="0"/>
        <v>0</v>
      </c>
      <c r="AB7" s="517">
        <f t="shared" si="0"/>
        <v>0</v>
      </c>
      <c r="AC7" s="517">
        <f t="shared" si="0"/>
        <v>0</v>
      </c>
      <c r="AD7" s="517">
        <f t="shared" si="0"/>
        <v>0</v>
      </c>
      <c r="AE7" s="517">
        <f t="shared" si="0"/>
        <v>0</v>
      </c>
      <c r="AF7" s="517">
        <f t="shared" si="0"/>
        <v>0</v>
      </c>
      <c r="AG7" s="517">
        <f t="shared" si="0"/>
        <v>0</v>
      </c>
      <c r="AH7" s="517">
        <f t="shared" si="0"/>
        <v>0</v>
      </c>
      <c r="AI7" s="517">
        <f t="shared" si="0"/>
        <v>0</v>
      </c>
      <c r="AJ7" s="517">
        <f t="shared" si="0"/>
        <v>0</v>
      </c>
      <c r="AK7" s="517">
        <f t="shared" si="0"/>
        <v>0</v>
      </c>
      <c r="AL7" s="517">
        <f t="shared" si="0"/>
        <v>0</v>
      </c>
      <c r="AM7" s="517">
        <f t="shared" si="0"/>
        <v>0</v>
      </c>
      <c r="AN7" s="517">
        <f t="shared" si="0"/>
        <v>0</v>
      </c>
      <c r="AO7" s="517">
        <f t="shared" si="0"/>
        <v>0</v>
      </c>
      <c r="AP7" s="517">
        <f t="shared" si="0"/>
        <v>0</v>
      </c>
      <c r="AQ7" s="517">
        <f t="shared" si="0"/>
        <v>0</v>
      </c>
      <c r="AR7" s="517">
        <f t="shared" si="0"/>
        <v>0</v>
      </c>
      <c r="AS7" s="517">
        <f t="shared" si="0"/>
        <v>0</v>
      </c>
      <c r="AT7" s="517">
        <f t="shared" si="0"/>
        <v>0</v>
      </c>
      <c r="AU7" s="517">
        <f t="shared" si="0"/>
        <v>0</v>
      </c>
      <c r="AV7" s="517">
        <f t="shared" si="0"/>
        <v>0</v>
      </c>
      <c r="AW7" s="517">
        <f t="shared" si="0"/>
        <v>0</v>
      </c>
      <c r="AX7" s="517">
        <f t="shared" si="0"/>
        <v>0</v>
      </c>
      <c r="AY7" s="517">
        <f t="shared" si="0"/>
        <v>0</v>
      </c>
      <c r="AZ7" s="517">
        <f t="shared" si="0"/>
        <v>0</v>
      </c>
      <c r="BA7" s="517">
        <f t="shared" si="0"/>
        <v>0</v>
      </c>
      <c r="BB7" s="517">
        <f t="shared" si="0"/>
        <v>0</v>
      </c>
      <c r="BC7" s="517">
        <f t="shared" si="0"/>
        <v>0</v>
      </c>
      <c r="BD7" s="517">
        <f t="shared" si="0"/>
        <v>0</v>
      </c>
      <c r="BE7" s="538">
        <f>SUM(טבלה3338[[#This Row],[1]:[50]])</f>
        <v>0</v>
      </c>
      <c r="BF7" s="538">
        <f>ROUNDUP(טבלה3338[[#This Row],[סה"כ]]+טבלה3338[[#This Row],[סה"כ]]*טבלה3338[[#This Row],[תוספת]],0)</f>
        <v>0</v>
      </c>
      <c r="BG7" s="576" t="str">
        <f>טבלה3338[[#This Row],[פרודוקטים]]</f>
        <v>פתיתים</v>
      </c>
      <c r="BH7" s="579"/>
      <c r="BJ7" s="531"/>
      <c r="BK7" s="531"/>
      <c r="BL7" s="531"/>
    </row>
    <row r="8" spans="1:64">
      <c r="A8" s="518" t="s">
        <v>1011</v>
      </c>
      <c r="B8" s="518">
        <v>11782</v>
      </c>
      <c r="C8" s="518" t="s">
        <v>956</v>
      </c>
      <c r="D8" s="609" t="s">
        <v>736</v>
      </c>
      <c r="E8" s="609"/>
      <c r="F8" s="522">
        <v>120</v>
      </c>
      <c r="G8" s="517">
        <f t="shared" ref="G8:BD8" si="2">ROUNDUP($F8*(G$2-G$3),0)</f>
        <v>0</v>
      </c>
      <c r="H8" s="517">
        <f t="shared" si="2"/>
        <v>0</v>
      </c>
      <c r="I8" s="517">
        <f t="shared" si="2"/>
        <v>0</v>
      </c>
      <c r="J8" s="517">
        <f t="shared" si="2"/>
        <v>0</v>
      </c>
      <c r="K8" s="517">
        <f t="shared" si="2"/>
        <v>0</v>
      </c>
      <c r="L8" s="517">
        <f t="shared" si="2"/>
        <v>0</v>
      </c>
      <c r="M8" s="517">
        <f t="shared" ref="M8:T8" si="3">ROUNDUP($F8*(M$2-M$3),0)</f>
        <v>0</v>
      </c>
      <c r="N8" s="517">
        <f t="shared" si="3"/>
        <v>0</v>
      </c>
      <c r="O8" s="517">
        <f t="shared" si="3"/>
        <v>0</v>
      </c>
      <c r="P8" s="517">
        <f t="shared" si="3"/>
        <v>0</v>
      </c>
      <c r="Q8" s="517">
        <f t="shared" si="3"/>
        <v>0</v>
      </c>
      <c r="R8" s="517">
        <f t="shared" si="3"/>
        <v>0</v>
      </c>
      <c r="S8" s="517">
        <f t="shared" si="3"/>
        <v>0</v>
      </c>
      <c r="T8" s="517">
        <f t="shared" si="3"/>
        <v>0</v>
      </c>
      <c r="U8" s="517">
        <f t="shared" si="2"/>
        <v>0</v>
      </c>
      <c r="V8" s="517">
        <f t="shared" si="2"/>
        <v>0</v>
      </c>
      <c r="W8" s="517">
        <f t="shared" si="2"/>
        <v>0</v>
      </c>
      <c r="X8" s="517">
        <f t="shared" si="2"/>
        <v>0</v>
      </c>
      <c r="Y8" s="517">
        <f t="shared" si="2"/>
        <v>0</v>
      </c>
      <c r="Z8" s="517">
        <f t="shared" si="2"/>
        <v>0</v>
      </c>
      <c r="AA8" s="517">
        <f t="shared" si="2"/>
        <v>0</v>
      </c>
      <c r="AB8" s="517">
        <f t="shared" si="2"/>
        <v>0</v>
      </c>
      <c r="AC8" s="517">
        <f t="shared" si="2"/>
        <v>0</v>
      </c>
      <c r="AD8" s="517">
        <f t="shared" si="2"/>
        <v>0</v>
      </c>
      <c r="AE8" s="517">
        <f t="shared" si="2"/>
        <v>0</v>
      </c>
      <c r="AF8" s="517">
        <f t="shared" si="2"/>
        <v>0</v>
      </c>
      <c r="AG8" s="517">
        <f t="shared" si="2"/>
        <v>0</v>
      </c>
      <c r="AH8" s="517">
        <f t="shared" si="2"/>
        <v>0</v>
      </c>
      <c r="AI8" s="517">
        <f t="shared" si="2"/>
        <v>0</v>
      </c>
      <c r="AJ8" s="517">
        <f t="shared" si="2"/>
        <v>0</v>
      </c>
      <c r="AK8" s="517">
        <f t="shared" si="2"/>
        <v>0</v>
      </c>
      <c r="AL8" s="517">
        <f t="shared" si="2"/>
        <v>0</v>
      </c>
      <c r="AM8" s="517">
        <f t="shared" si="2"/>
        <v>0</v>
      </c>
      <c r="AN8" s="517">
        <f t="shared" si="2"/>
        <v>0</v>
      </c>
      <c r="AO8" s="517">
        <f t="shared" si="2"/>
        <v>0</v>
      </c>
      <c r="AP8" s="517">
        <f t="shared" si="2"/>
        <v>0</v>
      </c>
      <c r="AQ8" s="517">
        <f t="shared" si="2"/>
        <v>0</v>
      </c>
      <c r="AR8" s="517">
        <f t="shared" si="2"/>
        <v>0</v>
      </c>
      <c r="AS8" s="517">
        <f t="shared" si="2"/>
        <v>0</v>
      </c>
      <c r="AT8" s="517">
        <f t="shared" si="2"/>
        <v>0</v>
      </c>
      <c r="AU8" s="517">
        <f t="shared" si="2"/>
        <v>0</v>
      </c>
      <c r="AV8" s="517">
        <f t="shared" si="2"/>
        <v>0</v>
      </c>
      <c r="AW8" s="517">
        <f t="shared" si="2"/>
        <v>0</v>
      </c>
      <c r="AX8" s="517">
        <f t="shared" si="2"/>
        <v>0</v>
      </c>
      <c r="AY8" s="517">
        <f t="shared" si="2"/>
        <v>0</v>
      </c>
      <c r="AZ8" s="517">
        <f t="shared" si="2"/>
        <v>0</v>
      </c>
      <c r="BA8" s="517">
        <f t="shared" si="2"/>
        <v>0</v>
      </c>
      <c r="BB8" s="517">
        <f t="shared" si="2"/>
        <v>0</v>
      </c>
      <c r="BC8" s="517">
        <f t="shared" si="2"/>
        <v>0</v>
      </c>
      <c r="BD8" s="517">
        <f t="shared" si="2"/>
        <v>0</v>
      </c>
      <c r="BE8" s="538">
        <f>SUM(טבלה3338[[#This Row],[1]:[50]])</f>
        <v>0</v>
      </c>
      <c r="BF8" s="538">
        <f>CEILING(טבלה3338[[#This Row],[סה"כ]]+טבלה3338[[#This Row],[סה"כ]]*טבלה3338[[#This Row],[תוספת]],700)/700</f>
        <v>0</v>
      </c>
      <c r="BG8" s="576" t="str">
        <f>טבלה3338[[#This Row],[פרודוקטים]]</f>
        <v>קציצות עוף</v>
      </c>
      <c r="BH8" s="579"/>
      <c r="BJ8" s="531"/>
      <c r="BK8" s="531"/>
      <c r="BL8" s="531"/>
    </row>
    <row r="9" spans="1:64">
      <c r="A9" s="518" t="s">
        <v>1011</v>
      </c>
      <c r="B9" s="518">
        <v>3</v>
      </c>
      <c r="C9" s="518" t="s">
        <v>2</v>
      </c>
      <c r="D9" s="609" t="s">
        <v>681</v>
      </c>
      <c r="E9" s="609"/>
      <c r="F9" s="521">
        <f>1/4</f>
        <v>0.25</v>
      </c>
      <c r="G9" s="517">
        <f>ROUNDUP($F9*G$2,0)</f>
        <v>0</v>
      </c>
      <c r="H9" s="517">
        <f t="shared" ref="H9:BC14" si="4">ROUNDUP($F9*H$2,0)</f>
        <v>0</v>
      </c>
      <c r="I9" s="517">
        <f t="shared" si="4"/>
        <v>0</v>
      </c>
      <c r="J9" s="517">
        <f t="shared" si="4"/>
        <v>0</v>
      </c>
      <c r="K9" s="517">
        <f t="shared" si="4"/>
        <v>0</v>
      </c>
      <c r="L9" s="517">
        <f t="shared" si="4"/>
        <v>0</v>
      </c>
      <c r="M9" s="517">
        <f t="shared" ref="M9:T15" si="5">ROUNDUP($F9*M$2,0)</f>
        <v>0</v>
      </c>
      <c r="N9" s="517">
        <f t="shared" si="5"/>
        <v>0</v>
      </c>
      <c r="O9" s="517">
        <f t="shared" si="5"/>
        <v>0</v>
      </c>
      <c r="P9" s="517">
        <f t="shared" si="5"/>
        <v>0</v>
      </c>
      <c r="Q9" s="517">
        <f t="shared" si="5"/>
        <v>0</v>
      </c>
      <c r="R9" s="517">
        <f t="shared" si="5"/>
        <v>0</v>
      </c>
      <c r="S9" s="517">
        <f t="shared" si="5"/>
        <v>0</v>
      </c>
      <c r="T9" s="517">
        <f t="shared" si="5"/>
        <v>0</v>
      </c>
      <c r="U9" s="517">
        <f t="shared" si="4"/>
        <v>0</v>
      </c>
      <c r="V9" s="517">
        <f t="shared" si="4"/>
        <v>0</v>
      </c>
      <c r="W9" s="517">
        <f t="shared" si="4"/>
        <v>0</v>
      </c>
      <c r="X9" s="517">
        <f t="shared" si="4"/>
        <v>0</v>
      </c>
      <c r="Y9" s="517">
        <f t="shared" si="4"/>
        <v>0</v>
      </c>
      <c r="Z9" s="517">
        <f t="shared" si="4"/>
        <v>0</v>
      </c>
      <c r="AA9" s="517">
        <f t="shared" si="4"/>
        <v>0</v>
      </c>
      <c r="AB9" s="517">
        <f t="shared" si="4"/>
        <v>0</v>
      </c>
      <c r="AC9" s="517">
        <f t="shared" si="4"/>
        <v>0</v>
      </c>
      <c r="AD9" s="517">
        <f t="shared" si="4"/>
        <v>0</v>
      </c>
      <c r="AE9" s="517">
        <f t="shared" si="4"/>
        <v>0</v>
      </c>
      <c r="AF9" s="517">
        <f t="shared" si="4"/>
        <v>0</v>
      </c>
      <c r="AG9" s="517">
        <f t="shared" si="4"/>
        <v>0</v>
      </c>
      <c r="AH9" s="517">
        <f t="shared" si="4"/>
        <v>0</v>
      </c>
      <c r="AI9" s="517">
        <f t="shared" si="4"/>
        <v>0</v>
      </c>
      <c r="AJ9" s="517">
        <f t="shared" si="4"/>
        <v>0</v>
      </c>
      <c r="AK9" s="517">
        <f t="shared" si="4"/>
        <v>0</v>
      </c>
      <c r="AL9" s="517">
        <f t="shared" si="4"/>
        <v>0</v>
      </c>
      <c r="AM9" s="517">
        <f t="shared" si="4"/>
        <v>0</v>
      </c>
      <c r="AN9" s="517">
        <f t="shared" si="4"/>
        <v>0</v>
      </c>
      <c r="AO9" s="517">
        <f t="shared" si="4"/>
        <v>0</v>
      </c>
      <c r="AP9" s="517">
        <f t="shared" si="4"/>
        <v>0</v>
      </c>
      <c r="AQ9" s="517">
        <f t="shared" si="4"/>
        <v>0</v>
      </c>
      <c r="AR9" s="517">
        <f t="shared" si="4"/>
        <v>0</v>
      </c>
      <c r="AS9" s="517">
        <f t="shared" si="4"/>
        <v>0</v>
      </c>
      <c r="AT9" s="517">
        <f t="shared" si="4"/>
        <v>0</v>
      </c>
      <c r="AU9" s="517">
        <f t="shared" si="4"/>
        <v>0</v>
      </c>
      <c r="AV9" s="517">
        <f t="shared" si="4"/>
        <v>0</v>
      </c>
      <c r="AW9" s="517">
        <f t="shared" si="4"/>
        <v>0</v>
      </c>
      <c r="AX9" s="517">
        <f t="shared" si="4"/>
        <v>0</v>
      </c>
      <c r="AY9" s="517">
        <f t="shared" si="4"/>
        <v>0</v>
      </c>
      <c r="AZ9" s="517">
        <f t="shared" si="4"/>
        <v>0</v>
      </c>
      <c r="BA9" s="517">
        <f t="shared" si="4"/>
        <v>0</v>
      </c>
      <c r="BB9" s="517">
        <f t="shared" si="4"/>
        <v>0</v>
      </c>
      <c r="BC9" s="517">
        <f t="shared" si="4"/>
        <v>0</v>
      </c>
      <c r="BD9" s="517">
        <f t="shared" ref="BD9:BD13" si="6">ROUNDUP($F9*BD$2,0)</f>
        <v>0</v>
      </c>
      <c r="BE9" s="538">
        <f>SUM(טבלה3338[[#This Row],[1]:[50]])</f>
        <v>0</v>
      </c>
      <c r="BF9" s="538">
        <f>ROUNDUP(טבלה3338[[#This Row],[סה"כ]]/5+טבלה3338[[#This Row],[סה"כ]]/5*טבלה3338[[#This Row],[תוספת]],0)</f>
        <v>0</v>
      </c>
      <c r="BG9" s="576" t="str">
        <f>טבלה3338[[#This Row],[פרודוקטים]]</f>
        <v>מלפפון</v>
      </c>
      <c r="BH9" s="579">
        <v>0</v>
      </c>
      <c r="BJ9" s="531"/>
      <c r="BK9" s="531"/>
      <c r="BL9" s="531"/>
    </row>
    <row r="10" spans="1:64">
      <c r="A10" s="518" t="s">
        <v>1011</v>
      </c>
      <c r="B10" s="518">
        <v>607</v>
      </c>
      <c r="C10" s="518" t="s">
        <v>3</v>
      </c>
      <c r="D10" s="609" t="s">
        <v>741</v>
      </c>
      <c r="E10" s="609"/>
      <c r="F10" s="521">
        <f>1/4</f>
        <v>0.25</v>
      </c>
      <c r="G10" s="517">
        <f t="shared" ref="G10:V12" si="7">ROUNDUP($F10*G$2,0)</f>
        <v>0</v>
      </c>
      <c r="H10" s="517">
        <f t="shared" si="7"/>
        <v>0</v>
      </c>
      <c r="I10" s="517">
        <f t="shared" si="7"/>
        <v>0</v>
      </c>
      <c r="J10" s="517">
        <f t="shared" si="7"/>
        <v>0</v>
      </c>
      <c r="K10" s="517">
        <f t="shared" si="7"/>
        <v>0</v>
      </c>
      <c r="L10" s="517">
        <f t="shared" si="7"/>
        <v>0</v>
      </c>
      <c r="M10" s="517">
        <f t="shared" si="5"/>
        <v>0</v>
      </c>
      <c r="N10" s="517">
        <f t="shared" si="5"/>
        <v>0</v>
      </c>
      <c r="O10" s="517">
        <f t="shared" si="5"/>
        <v>0</v>
      </c>
      <c r="P10" s="517">
        <f t="shared" si="5"/>
        <v>0</v>
      </c>
      <c r="Q10" s="517">
        <f t="shared" si="5"/>
        <v>0</v>
      </c>
      <c r="R10" s="517">
        <f t="shared" si="5"/>
        <v>0</v>
      </c>
      <c r="S10" s="517">
        <f t="shared" si="5"/>
        <v>0</v>
      </c>
      <c r="T10" s="517">
        <f t="shared" si="5"/>
        <v>0</v>
      </c>
      <c r="U10" s="517">
        <f t="shared" si="7"/>
        <v>0</v>
      </c>
      <c r="V10" s="517">
        <f t="shared" si="7"/>
        <v>0</v>
      </c>
      <c r="W10" s="517">
        <f t="shared" si="4"/>
        <v>0</v>
      </c>
      <c r="X10" s="517">
        <f t="shared" si="4"/>
        <v>0</v>
      </c>
      <c r="Y10" s="517">
        <f t="shared" si="4"/>
        <v>0</v>
      </c>
      <c r="Z10" s="517">
        <f t="shared" si="4"/>
        <v>0</v>
      </c>
      <c r="AA10" s="517">
        <f t="shared" si="4"/>
        <v>0</v>
      </c>
      <c r="AB10" s="517">
        <f t="shared" si="4"/>
        <v>0</v>
      </c>
      <c r="AC10" s="517">
        <f t="shared" si="4"/>
        <v>0</v>
      </c>
      <c r="AD10" s="517">
        <f t="shared" si="4"/>
        <v>0</v>
      </c>
      <c r="AE10" s="517">
        <f t="shared" si="4"/>
        <v>0</v>
      </c>
      <c r="AF10" s="517">
        <f t="shared" si="4"/>
        <v>0</v>
      </c>
      <c r="AG10" s="517">
        <f t="shared" si="4"/>
        <v>0</v>
      </c>
      <c r="AH10" s="517">
        <f t="shared" si="4"/>
        <v>0</v>
      </c>
      <c r="AI10" s="517">
        <f t="shared" si="4"/>
        <v>0</v>
      </c>
      <c r="AJ10" s="517">
        <f t="shared" si="4"/>
        <v>0</v>
      </c>
      <c r="AK10" s="517">
        <f t="shared" si="4"/>
        <v>0</v>
      </c>
      <c r="AL10" s="517">
        <f t="shared" si="4"/>
        <v>0</v>
      </c>
      <c r="AM10" s="517">
        <f t="shared" si="4"/>
        <v>0</v>
      </c>
      <c r="AN10" s="517">
        <f t="shared" si="4"/>
        <v>0</v>
      </c>
      <c r="AO10" s="517">
        <f t="shared" si="4"/>
        <v>0</v>
      </c>
      <c r="AP10" s="517">
        <f t="shared" si="4"/>
        <v>0</v>
      </c>
      <c r="AQ10" s="517">
        <f t="shared" si="4"/>
        <v>0</v>
      </c>
      <c r="AR10" s="517">
        <f t="shared" si="4"/>
        <v>0</v>
      </c>
      <c r="AS10" s="517">
        <f t="shared" si="4"/>
        <v>0</v>
      </c>
      <c r="AT10" s="517">
        <f t="shared" si="4"/>
        <v>0</v>
      </c>
      <c r="AU10" s="517">
        <f t="shared" si="4"/>
        <v>0</v>
      </c>
      <c r="AV10" s="517">
        <f t="shared" si="4"/>
        <v>0</v>
      </c>
      <c r="AW10" s="517">
        <f t="shared" si="4"/>
        <v>0</v>
      </c>
      <c r="AX10" s="517">
        <f t="shared" si="4"/>
        <v>0</v>
      </c>
      <c r="AY10" s="517">
        <f t="shared" si="4"/>
        <v>0</v>
      </c>
      <c r="AZ10" s="517">
        <f t="shared" si="4"/>
        <v>0</v>
      </c>
      <c r="BA10" s="517">
        <f t="shared" si="4"/>
        <v>0</v>
      </c>
      <c r="BB10" s="517">
        <f t="shared" si="4"/>
        <v>0</v>
      </c>
      <c r="BC10" s="517">
        <f t="shared" si="4"/>
        <v>0</v>
      </c>
      <c r="BD10" s="517">
        <f t="shared" si="6"/>
        <v>0</v>
      </c>
      <c r="BE10" s="538">
        <f>SUM(טבלה3338[[#This Row],[1]:[50]])</f>
        <v>0</v>
      </c>
      <c r="BF10" s="538">
        <f>ROUNDUP(טבלה3338[[#This Row],[סה"כ]]/7+טבלה3338[[#This Row],[סה"כ]]/7*טבלה3338[[#This Row],[תוספת]],0)</f>
        <v>0</v>
      </c>
      <c r="BG10" s="576" t="str">
        <f>טבלה3338[[#This Row],[פרודוקטים]]</f>
        <v>עגבניה</v>
      </c>
      <c r="BH10" s="579">
        <v>0</v>
      </c>
      <c r="BJ10" s="531"/>
      <c r="BK10" s="531"/>
      <c r="BL10" s="531"/>
    </row>
    <row r="11" spans="1:64">
      <c r="A11" s="518" t="s">
        <v>1011</v>
      </c>
      <c r="B11" s="518">
        <v>157</v>
      </c>
      <c r="C11" s="518" t="s">
        <v>21</v>
      </c>
      <c r="D11" s="609" t="s">
        <v>890</v>
      </c>
      <c r="E11" s="609"/>
      <c r="F11" s="523">
        <f>1/10</f>
        <v>0.1</v>
      </c>
      <c r="G11" s="517">
        <f t="shared" si="7"/>
        <v>0</v>
      </c>
      <c r="H11" s="517">
        <f t="shared" si="4"/>
        <v>0</v>
      </c>
      <c r="I11" s="517">
        <f t="shared" si="4"/>
        <v>0</v>
      </c>
      <c r="J11" s="517">
        <f t="shared" si="4"/>
        <v>0</v>
      </c>
      <c r="K11" s="517">
        <f t="shared" si="4"/>
        <v>0</v>
      </c>
      <c r="L11" s="517">
        <f t="shared" si="4"/>
        <v>0</v>
      </c>
      <c r="M11" s="517">
        <f t="shared" si="5"/>
        <v>0</v>
      </c>
      <c r="N11" s="517">
        <f t="shared" si="5"/>
        <v>0</v>
      </c>
      <c r="O11" s="517">
        <f t="shared" si="5"/>
        <v>0</v>
      </c>
      <c r="P11" s="517">
        <f t="shared" si="5"/>
        <v>0</v>
      </c>
      <c r="Q11" s="517">
        <f t="shared" si="5"/>
        <v>0</v>
      </c>
      <c r="R11" s="517">
        <f t="shared" si="5"/>
        <v>0</v>
      </c>
      <c r="S11" s="517">
        <f t="shared" si="5"/>
        <v>0</v>
      </c>
      <c r="T11" s="517">
        <f t="shared" si="5"/>
        <v>0</v>
      </c>
      <c r="U11" s="517">
        <f t="shared" si="4"/>
        <v>0</v>
      </c>
      <c r="V11" s="517">
        <f t="shared" si="4"/>
        <v>0</v>
      </c>
      <c r="W11" s="517">
        <f t="shared" si="4"/>
        <v>0</v>
      </c>
      <c r="X11" s="517">
        <f t="shared" si="4"/>
        <v>0</v>
      </c>
      <c r="Y11" s="517">
        <f t="shared" si="4"/>
        <v>0</v>
      </c>
      <c r="Z11" s="517">
        <f t="shared" si="4"/>
        <v>0</v>
      </c>
      <c r="AA11" s="517">
        <f t="shared" si="4"/>
        <v>0</v>
      </c>
      <c r="AB11" s="517">
        <f t="shared" si="4"/>
        <v>0</v>
      </c>
      <c r="AC11" s="517">
        <f t="shared" si="4"/>
        <v>0</v>
      </c>
      <c r="AD11" s="517">
        <f t="shared" si="4"/>
        <v>0</v>
      </c>
      <c r="AE11" s="517">
        <f t="shared" si="4"/>
        <v>0</v>
      </c>
      <c r="AF11" s="517">
        <f t="shared" si="4"/>
        <v>0</v>
      </c>
      <c r="AG11" s="517">
        <f t="shared" si="4"/>
        <v>0</v>
      </c>
      <c r="AH11" s="517">
        <f t="shared" si="4"/>
        <v>0</v>
      </c>
      <c r="AI11" s="517">
        <f t="shared" si="4"/>
        <v>0</v>
      </c>
      <c r="AJ11" s="517">
        <f t="shared" si="4"/>
        <v>0</v>
      </c>
      <c r="AK11" s="517">
        <f t="shared" si="4"/>
        <v>0</v>
      </c>
      <c r="AL11" s="517">
        <f t="shared" si="4"/>
        <v>0</v>
      </c>
      <c r="AM11" s="517">
        <f t="shared" si="4"/>
        <v>0</v>
      </c>
      <c r="AN11" s="517">
        <f t="shared" si="4"/>
        <v>0</v>
      </c>
      <c r="AO11" s="517">
        <f t="shared" si="4"/>
        <v>0</v>
      </c>
      <c r="AP11" s="517">
        <f t="shared" si="4"/>
        <v>0</v>
      </c>
      <c r="AQ11" s="517">
        <f t="shared" si="4"/>
        <v>0</v>
      </c>
      <c r="AR11" s="517">
        <f t="shared" si="4"/>
        <v>0</v>
      </c>
      <c r="AS11" s="517">
        <f t="shared" si="4"/>
        <v>0</v>
      </c>
      <c r="AT11" s="517">
        <f t="shared" si="4"/>
        <v>0</v>
      </c>
      <c r="AU11" s="517">
        <f t="shared" si="4"/>
        <v>0</v>
      </c>
      <c r="AV11" s="517">
        <f t="shared" si="4"/>
        <v>0</v>
      </c>
      <c r="AW11" s="517">
        <f t="shared" si="4"/>
        <v>0</v>
      </c>
      <c r="AX11" s="517">
        <f t="shared" si="4"/>
        <v>0</v>
      </c>
      <c r="AY11" s="517">
        <f t="shared" si="4"/>
        <v>0</v>
      </c>
      <c r="AZ11" s="517">
        <f t="shared" si="4"/>
        <v>0</v>
      </c>
      <c r="BA11" s="517">
        <f t="shared" si="4"/>
        <v>0</v>
      </c>
      <c r="BB11" s="517">
        <f t="shared" si="4"/>
        <v>0</v>
      </c>
      <c r="BC11" s="517">
        <f t="shared" si="4"/>
        <v>0</v>
      </c>
      <c r="BD11" s="517">
        <f t="shared" si="6"/>
        <v>0</v>
      </c>
      <c r="BE11" s="538">
        <f>SUM(טבלה3338[[#This Row],[1]:[50]])</f>
        <v>0</v>
      </c>
      <c r="BF11" s="538">
        <f>ROUNDUP(טבלה3338[[#This Row],[סה"כ]]/7+טבלה3338[[#This Row],[סה"כ]]/7*טבלה3338[[#This Row],[תוספת]],0)</f>
        <v>0</v>
      </c>
      <c r="BG11" s="576" t="str">
        <f>טבלה3338[[#This Row],[פרודוקטים]]</f>
        <v>בצל</v>
      </c>
      <c r="BH11" s="579"/>
      <c r="BJ11" s="531"/>
      <c r="BK11" s="531"/>
      <c r="BL11" s="531"/>
    </row>
    <row r="12" spans="1:64">
      <c r="A12" s="518" t="s">
        <v>1011</v>
      </c>
      <c r="B12" s="518">
        <v>6975</v>
      </c>
      <c r="C12" s="518" t="s">
        <v>41</v>
      </c>
      <c r="D12" s="530" t="s">
        <v>718</v>
      </c>
      <c r="E12" s="530"/>
      <c r="F12" s="523">
        <v>3.3333333333333333E-2</v>
      </c>
      <c r="G12" s="517">
        <f t="shared" si="7"/>
        <v>0</v>
      </c>
      <c r="H12" s="517">
        <f t="shared" si="4"/>
        <v>0</v>
      </c>
      <c r="I12" s="517">
        <f t="shared" si="4"/>
        <v>0</v>
      </c>
      <c r="J12" s="517">
        <f t="shared" si="4"/>
        <v>0</v>
      </c>
      <c r="K12" s="517">
        <f t="shared" si="4"/>
        <v>0</v>
      </c>
      <c r="L12" s="517">
        <f t="shared" si="4"/>
        <v>0</v>
      </c>
      <c r="M12" s="517">
        <f t="shared" si="5"/>
        <v>0</v>
      </c>
      <c r="N12" s="517">
        <f t="shared" si="5"/>
        <v>0</v>
      </c>
      <c r="O12" s="517">
        <f t="shared" si="5"/>
        <v>0</v>
      </c>
      <c r="P12" s="517">
        <f t="shared" si="5"/>
        <v>0</v>
      </c>
      <c r="Q12" s="517">
        <f t="shared" si="5"/>
        <v>0</v>
      </c>
      <c r="R12" s="517">
        <f t="shared" si="5"/>
        <v>0</v>
      </c>
      <c r="S12" s="517">
        <f t="shared" si="5"/>
        <v>0</v>
      </c>
      <c r="T12" s="517">
        <f t="shared" si="5"/>
        <v>0</v>
      </c>
      <c r="U12" s="517">
        <f t="shared" si="4"/>
        <v>0</v>
      </c>
      <c r="V12" s="517">
        <f t="shared" si="4"/>
        <v>0</v>
      </c>
      <c r="W12" s="517">
        <f t="shared" si="4"/>
        <v>0</v>
      </c>
      <c r="X12" s="517">
        <f t="shared" si="4"/>
        <v>0</v>
      </c>
      <c r="Y12" s="517">
        <f t="shared" si="4"/>
        <v>0</v>
      </c>
      <c r="Z12" s="517">
        <f t="shared" si="4"/>
        <v>0</v>
      </c>
      <c r="AA12" s="517">
        <f t="shared" si="4"/>
        <v>0</v>
      </c>
      <c r="AB12" s="517">
        <f t="shared" si="4"/>
        <v>0</v>
      </c>
      <c r="AC12" s="517">
        <f t="shared" si="4"/>
        <v>0</v>
      </c>
      <c r="AD12" s="517">
        <f t="shared" si="4"/>
        <v>0</v>
      </c>
      <c r="AE12" s="517">
        <f t="shared" si="4"/>
        <v>0</v>
      </c>
      <c r="AF12" s="517">
        <f t="shared" si="4"/>
        <v>0</v>
      </c>
      <c r="AG12" s="517">
        <f t="shared" si="4"/>
        <v>0</v>
      </c>
      <c r="AH12" s="517">
        <f t="shared" si="4"/>
        <v>0</v>
      </c>
      <c r="AI12" s="517">
        <f t="shared" si="4"/>
        <v>0</v>
      </c>
      <c r="AJ12" s="517">
        <f t="shared" si="4"/>
        <v>0</v>
      </c>
      <c r="AK12" s="517">
        <f t="shared" si="4"/>
        <v>0</v>
      </c>
      <c r="AL12" s="517">
        <f t="shared" si="4"/>
        <v>0</v>
      </c>
      <c r="AM12" s="517">
        <f t="shared" si="4"/>
        <v>0</v>
      </c>
      <c r="AN12" s="517">
        <f t="shared" si="4"/>
        <v>0</v>
      </c>
      <c r="AO12" s="517">
        <f t="shared" si="4"/>
        <v>0</v>
      </c>
      <c r="AP12" s="517">
        <f t="shared" si="4"/>
        <v>0</v>
      </c>
      <c r="AQ12" s="517">
        <f t="shared" si="4"/>
        <v>0</v>
      </c>
      <c r="AR12" s="517">
        <f t="shared" si="4"/>
        <v>0</v>
      </c>
      <c r="AS12" s="517">
        <f t="shared" si="4"/>
        <v>0</v>
      </c>
      <c r="AT12" s="517">
        <f t="shared" si="4"/>
        <v>0</v>
      </c>
      <c r="AU12" s="517">
        <f t="shared" si="4"/>
        <v>0</v>
      </c>
      <c r="AV12" s="517">
        <f t="shared" si="4"/>
        <v>0</v>
      </c>
      <c r="AW12" s="517">
        <f t="shared" si="4"/>
        <v>0</v>
      </c>
      <c r="AX12" s="517">
        <f t="shared" si="4"/>
        <v>0</v>
      </c>
      <c r="AY12" s="517">
        <f t="shared" si="4"/>
        <v>0</v>
      </c>
      <c r="AZ12" s="517">
        <f t="shared" si="4"/>
        <v>0</v>
      </c>
      <c r="BA12" s="517">
        <f t="shared" si="4"/>
        <v>0</v>
      </c>
      <c r="BB12" s="517">
        <f t="shared" si="4"/>
        <v>0</v>
      </c>
      <c r="BC12" s="517">
        <f t="shared" si="4"/>
        <v>0</v>
      </c>
      <c r="BD12" s="517">
        <f t="shared" si="6"/>
        <v>0</v>
      </c>
      <c r="BE12" s="538">
        <f>SUM(טבלה3338[[#This Row],[1]:[50]])</f>
        <v>0</v>
      </c>
      <c r="BF12" s="538">
        <f>טבלה3338[[#This Row],[סה"כ]]</f>
        <v>0</v>
      </c>
      <c r="BG12" s="576" t="str">
        <f>טבלה3338[[#This Row],[פרודוקטים]]</f>
        <v>טחינה</v>
      </c>
      <c r="BH12" s="579"/>
      <c r="BJ12" s="531"/>
      <c r="BK12" s="531"/>
      <c r="BL12" s="531"/>
    </row>
    <row r="13" spans="1:64">
      <c r="A13" s="518" t="s">
        <v>1011</v>
      </c>
      <c r="B13" s="518">
        <v>397</v>
      </c>
      <c r="C13" s="518" t="s">
        <v>719</v>
      </c>
      <c r="D13" s="530" t="s">
        <v>702</v>
      </c>
      <c r="E13" s="530"/>
      <c r="F13" s="523">
        <f>1/10</f>
        <v>0.1</v>
      </c>
      <c r="G13" s="517">
        <f>ROUNDUP($F13*G$2,0)</f>
        <v>0</v>
      </c>
      <c r="H13" s="517">
        <f t="shared" si="4"/>
        <v>0</v>
      </c>
      <c r="I13" s="517">
        <f t="shared" si="4"/>
        <v>0</v>
      </c>
      <c r="J13" s="517">
        <f t="shared" si="4"/>
        <v>0</v>
      </c>
      <c r="K13" s="517">
        <f t="shared" si="4"/>
        <v>0</v>
      </c>
      <c r="L13" s="517">
        <f t="shared" si="4"/>
        <v>0</v>
      </c>
      <c r="M13" s="517">
        <f t="shared" si="5"/>
        <v>0</v>
      </c>
      <c r="N13" s="517">
        <f t="shared" si="5"/>
        <v>0</v>
      </c>
      <c r="O13" s="517">
        <f t="shared" si="5"/>
        <v>0</v>
      </c>
      <c r="P13" s="517">
        <f t="shared" si="5"/>
        <v>0</v>
      </c>
      <c r="Q13" s="517">
        <f t="shared" si="5"/>
        <v>0</v>
      </c>
      <c r="R13" s="517">
        <f t="shared" si="5"/>
        <v>0</v>
      </c>
      <c r="S13" s="517">
        <f t="shared" si="5"/>
        <v>0</v>
      </c>
      <c r="T13" s="517">
        <f t="shared" si="5"/>
        <v>0</v>
      </c>
      <c r="U13" s="517">
        <f t="shared" si="4"/>
        <v>0</v>
      </c>
      <c r="V13" s="517">
        <f t="shared" si="4"/>
        <v>0</v>
      </c>
      <c r="W13" s="517">
        <f t="shared" si="4"/>
        <v>0</v>
      </c>
      <c r="X13" s="517">
        <f t="shared" si="4"/>
        <v>0</v>
      </c>
      <c r="Y13" s="517">
        <f t="shared" si="4"/>
        <v>0</v>
      </c>
      <c r="Z13" s="517">
        <f t="shared" si="4"/>
        <v>0</v>
      </c>
      <c r="AA13" s="517">
        <f t="shared" si="4"/>
        <v>0</v>
      </c>
      <c r="AB13" s="517">
        <f t="shared" si="4"/>
        <v>0</v>
      </c>
      <c r="AC13" s="517">
        <f t="shared" si="4"/>
        <v>0</v>
      </c>
      <c r="AD13" s="517">
        <f t="shared" si="4"/>
        <v>0</v>
      </c>
      <c r="AE13" s="517">
        <f t="shared" si="4"/>
        <v>0</v>
      </c>
      <c r="AF13" s="517">
        <f t="shared" si="4"/>
        <v>0</v>
      </c>
      <c r="AG13" s="517">
        <f t="shared" si="4"/>
        <v>0</v>
      </c>
      <c r="AH13" s="517">
        <f t="shared" si="4"/>
        <v>0</v>
      </c>
      <c r="AI13" s="517">
        <f t="shared" si="4"/>
        <v>0</v>
      </c>
      <c r="AJ13" s="517">
        <f t="shared" si="4"/>
        <v>0</v>
      </c>
      <c r="AK13" s="517">
        <f t="shared" si="4"/>
        <v>0</v>
      </c>
      <c r="AL13" s="517">
        <f t="shared" si="4"/>
        <v>0</v>
      </c>
      <c r="AM13" s="517">
        <f t="shared" si="4"/>
        <v>0</v>
      </c>
      <c r="AN13" s="517">
        <f t="shared" si="4"/>
        <v>0</v>
      </c>
      <c r="AO13" s="517">
        <f t="shared" si="4"/>
        <v>0</v>
      </c>
      <c r="AP13" s="517">
        <f t="shared" si="4"/>
        <v>0</v>
      </c>
      <c r="AQ13" s="517">
        <f t="shared" si="4"/>
        <v>0</v>
      </c>
      <c r="AR13" s="517">
        <f t="shared" si="4"/>
        <v>0</v>
      </c>
      <c r="AS13" s="517">
        <f t="shared" si="4"/>
        <v>0</v>
      </c>
      <c r="AT13" s="517">
        <f t="shared" si="4"/>
        <v>0</v>
      </c>
      <c r="AU13" s="517">
        <f t="shared" si="4"/>
        <v>0</v>
      </c>
      <c r="AV13" s="517">
        <f t="shared" si="4"/>
        <v>0</v>
      </c>
      <c r="AW13" s="517">
        <f t="shared" si="4"/>
        <v>0</v>
      </c>
      <c r="AX13" s="517">
        <f t="shared" si="4"/>
        <v>0</v>
      </c>
      <c r="AY13" s="517">
        <f t="shared" si="4"/>
        <v>0</v>
      </c>
      <c r="AZ13" s="517">
        <f t="shared" si="4"/>
        <v>0</v>
      </c>
      <c r="BA13" s="517">
        <f t="shared" si="4"/>
        <v>0</v>
      </c>
      <c r="BB13" s="517">
        <f t="shared" si="4"/>
        <v>0</v>
      </c>
      <c r="BC13" s="517">
        <f t="shared" si="4"/>
        <v>0</v>
      </c>
      <c r="BD13" s="517">
        <f t="shared" si="6"/>
        <v>0</v>
      </c>
      <c r="BE13" s="538">
        <f>SUM(טבלה3338[[#This Row],[1]:[50]])</f>
        <v>0</v>
      </c>
      <c r="BF13" s="538">
        <f>ROUNDUP(טבלה3338[[#This Row],[סה"כ]]/7+טבלה3338[[#This Row],[סה"כ]]/7*טבלה3338[[#This Row],[תוספת]],0)</f>
        <v>0</v>
      </c>
      <c r="BG13" s="576" t="str">
        <f>טבלה3338[[#This Row],[פרודוקטים]]</f>
        <v>לימון טרי</v>
      </c>
      <c r="BH13" s="579"/>
      <c r="BJ13" s="531"/>
      <c r="BK13" s="531"/>
      <c r="BL13" s="531"/>
    </row>
    <row r="14" spans="1:64">
      <c r="A14" s="518" t="s">
        <v>1011</v>
      </c>
      <c r="B14" s="518">
        <v>3094</v>
      </c>
      <c r="C14" s="518" t="s">
        <v>955</v>
      </c>
      <c r="D14" s="530" t="s">
        <v>889</v>
      </c>
      <c r="E14" s="530"/>
      <c r="F14" s="523">
        <f>1/20</f>
        <v>0.05</v>
      </c>
      <c r="G14" s="517">
        <f>ROUNDUP($F14*G$2,0)</f>
        <v>0</v>
      </c>
      <c r="H14" s="517">
        <f t="shared" si="4"/>
        <v>0</v>
      </c>
      <c r="I14" s="517">
        <f t="shared" si="4"/>
        <v>0</v>
      </c>
      <c r="J14" s="517">
        <f t="shared" si="4"/>
        <v>0</v>
      </c>
      <c r="K14" s="517">
        <f t="shared" si="4"/>
        <v>0</v>
      </c>
      <c r="L14" s="517">
        <f t="shared" si="4"/>
        <v>0</v>
      </c>
      <c r="M14" s="517">
        <f t="shared" si="5"/>
        <v>0</v>
      </c>
      <c r="N14" s="517">
        <f t="shared" si="5"/>
        <v>0</v>
      </c>
      <c r="O14" s="517">
        <f t="shared" si="5"/>
        <v>0</v>
      </c>
      <c r="P14" s="517">
        <f t="shared" si="5"/>
        <v>0</v>
      </c>
      <c r="Q14" s="517">
        <f t="shared" si="5"/>
        <v>0</v>
      </c>
      <c r="R14" s="517">
        <f t="shared" si="5"/>
        <v>0</v>
      </c>
      <c r="S14" s="517">
        <f t="shared" si="5"/>
        <v>0</v>
      </c>
      <c r="T14" s="517">
        <f t="shared" si="5"/>
        <v>0</v>
      </c>
      <c r="U14" s="517">
        <f t="shared" si="4"/>
        <v>0</v>
      </c>
      <c r="V14" s="517">
        <f t="shared" si="4"/>
        <v>0</v>
      </c>
      <c r="W14" s="517">
        <f t="shared" si="4"/>
        <v>0</v>
      </c>
      <c r="X14" s="517">
        <f t="shared" si="4"/>
        <v>0</v>
      </c>
      <c r="Y14" s="517">
        <f t="shared" si="4"/>
        <v>0</v>
      </c>
      <c r="Z14" s="517">
        <f t="shared" si="4"/>
        <v>0</v>
      </c>
      <c r="AA14" s="517">
        <f t="shared" si="4"/>
        <v>0</v>
      </c>
      <c r="AB14" s="517">
        <f t="shared" si="4"/>
        <v>0</v>
      </c>
      <c r="AC14" s="517">
        <f t="shared" si="4"/>
        <v>0</v>
      </c>
      <c r="AD14" s="517">
        <f t="shared" si="4"/>
        <v>0</v>
      </c>
      <c r="AE14" s="517">
        <f t="shared" si="4"/>
        <v>0</v>
      </c>
      <c r="AF14" s="517">
        <f t="shared" si="4"/>
        <v>0</v>
      </c>
      <c r="AG14" s="517">
        <f t="shared" si="4"/>
        <v>0</v>
      </c>
      <c r="AH14" s="517">
        <f t="shared" si="4"/>
        <v>0</v>
      </c>
      <c r="AI14" s="517">
        <f t="shared" si="4"/>
        <v>0</v>
      </c>
      <c r="AJ14" s="517">
        <f t="shared" si="4"/>
        <v>0</v>
      </c>
      <c r="AK14" s="517">
        <f t="shared" si="4"/>
        <v>0</v>
      </c>
      <c r="AL14" s="517">
        <f t="shared" ref="AL14:BD15" si="8">ROUNDUP($F14*AL$2,0)</f>
        <v>0</v>
      </c>
      <c r="AM14" s="517">
        <f t="shared" si="8"/>
        <v>0</v>
      </c>
      <c r="AN14" s="517">
        <f t="shared" si="8"/>
        <v>0</v>
      </c>
      <c r="AO14" s="517">
        <f t="shared" si="8"/>
        <v>0</v>
      </c>
      <c r="AP14" s="517">
        <f t="shared" si="8"/>
        <v>0</v>
      </c>
      <c r="AQ14" s="517">
        <f t="shared" si="8"/>
        <v>0</v>
      </c>
      <c r="AR14" s="517">
        <f t="shared" si="8"/>
        <v>0</v>
      </c>
      <c r="AS14" s="517">
        <f t="shared" si="8"/>
        <v>0</v>
      </c>
      <c r="AT14" s="517">
        <f t="shared" si="8"/>
        <v>0</v>
      </c>
      <c r="AU14" s="517">
        <f t="shared" si="8"/>
        <v>0</v>
      </c>
      <c r="AV14" s="517">
        <f t="shared" si="8"/>
        <v>0</v>
      </c>
      <c r="AW14" s="517">
        <f t="shared" si="8"/>
        <v>0</v>
      </c>
      <c r="AX14" s="517">
        <f t="shared" si="8"/>
        <v>0</v>
      </c>
      <c r="AY14" s="517">
        <f t="shared" si="8"/>
        <v>0</v>
      </c>
      <c r="AZ14" s="517">
        <f t="shared" si="8"/>
        <v>0</v>
      </c>
      <c r="BA14" s="517">
        <f t="shared" si="8"/>
        <v>0</v>
      </c>
      <c r="BB14" s="517">
        <f t="shared" si="8"/>
        <v>0</v>
      </c>
      <c r="BC14" s="517">
        <f t="shared" si="8"/>
        <v>0</v>
      </c>
      <c r="BD14" s="517">
        <f t="shared" si="8"/>
        <v>0</v>
      </c>
      <c r="BE14" s="538">
        <f>SUM(טבלה3338[[#This Row],[1]:[50]])</f>
        <v>0</v>
      </c>
      <c r="BF14" s="538">
        <f>טבלה3338[[#This Row],[סה"כ]]</f>
        <v>0</v>
      </c>
      <c r="BG14" s="576" t="str">
        <f>טבלה3338[[#This Row],[פרודוקטים]]</f>
        <v>רסק עגבניות A2</v>
      </c>
      <c r="BH14" s="579"/>
      <c r="BJ14" s="531"/>
      <c r="BK14" s="531"/>
      <c r="BL14" s="531"/>
    </row>
    <row r="15" spans="1:64">
      <c r="A15" s="518" t="s">
        <v>1011</v>
      </c>
      <c r="B15" s="518">
        <v>8455</v>
      </c>
      <c r="C15" s="518" t="s">
        <v>23</v>
      </c>
      <c r="D15" s="530" t="s">
        <v>720</v>
      </c>
      <c r="E15" s="530"/>
      <c r="F15" s="523">
        <v>7.1428571428571425E-2</v>
      </c>
      <c r="G15" s="517">
        <f>ROUNDUP($F15*G$2,0)</f>
        <v>0</v>
      </c>
      <c r="H15" s="517">
        <f t="shared" ref="H15:AK15" si="9">ROUNDUP($F15*H$2,0)</f>
        <v>0</v>
      </c>
      <c r="I15" s="517">
        <f t="shared" si="9"/>
        <v>0</v>
      </c>
      <c r="J15" s="517">
        <f t="shared" si="9"/>
        <v>0</v>
      </c>
      <c r="K15" s="517">
        <f t="shared" si="9"/>
        <v>0</v>
      </c>
      <c r="L15" s="517">
        <f t="shared" si="9"/>
        <v>0</v>
      </c>
      <c r="M15" s="517">
        <f t="shared" si="5"/>
        <v>0</v>
      </c>
      <c r="N15" s="517">
        <f t="shared" si="5"/>
        <v>0</v>
      </c>
      <c r="O15" s="517">
        <f t="shared" si="5"/>
        <v>0</v>
      </c>
      <c r="P15" s="517">
        <f t="shared" si="5"/>
        <v>0</v>
      </c>
      <c r="Q15" s="517">
        <f t="shared" si="5"/>
        <v>0</v>
      </c>
      <c r="R15" s="517">
        <f t="shared" si="5"/>
        <v>0</v>
      </c>
      <c r="S15" s="517">
        <f t="shared" si="5"/>
        <v>0</v>
      </c>
      <c r="T15" s="517">
        <f t="shared" si="5"/>
        <v>0</v>
      </c>
      <c r="U15" s="517">
        <f t="shared" si="9"/>
        <v>0</v>
      </c>
      <c r="V15" s="517">
        <f t="shared" si="9"/>
        <v>0</v>
      </c>
      <c r="W15" s="517">
        <f t="shared" si="9"/>
        <v>0</v>
      </c>
      <c r="X15" s="517">
        <f t="shared" si="9"/>
        <v>0</v>
      </c>
      <c r="Y15" s="517">
        <f t="shared" si="9"/>
        <v>0</v>
      </c>
      <c r="Z15" s="517">
        <f t="shared" si="9"/>
        <v>0</v>
      </c>
      <c r="AA15" s="517">
        <f t="shared" si="9"/>
        <v>0</v>
      </c>
      <c r="AB15" s="517">
        <f t="shared" si="9"/>
        <v>0</v>
      </c>
      <c r="AC15" s="517">
        <f t="shared" si="9"/>
        <v>0</v>
      </c>
      <c r="AD15" s="517">
        <f t="shared" si="9"/>
        <v>0</v>
      </c>
      <c r="AE15" s="517">
        <f t="shared" si="9"/>
        <v>0</v>
      </c>
      <c r="AF15" s="517">
        <f t="shared" si="9"/>
        <v>0</v>
      </c>
      <c r="AG15" s="517">
        <f t="shared" si="9"/>
        <v>0</v>
      </c>
      <c r="AH15" s="517">
        <f t="shared" si="9"/>
        <v>0</v>
      </c>
      <c r="AI15" s="517">
        <f t="shared" si="9"/>
        <v>0</v>
      </c>
      <c r="AJ15" s="517">
        <f t="shared" si="9"/>
        <v>0</v>
      </c>
      <c r="AK15" s="517">
        <f t="shared" si="9"/>
        <v>0</v>
      </c>
      <c r="AL15" s="517">
        <f t="shared" si="8"/>
        <v>0</v>
      </c>
      <c r="AM15" s="517">
        <f t="shared" si="8"/>
        <v>0</v>
      </c>
      <c r="AN15" s="517">
        <f t="shared" si="8"/>
        <v>0</v>
      </c>
      <c r="AO15" s="517">
        <f t="shared" si="8"/>
        <v>0</v>
      </c>
      <c r="AP15" s="517">
        <f t="shared" si="8"/>
        <v>0</v>
      </c>
      <c r="AQ15" s="517">
        <f t="shared" si="8"/>
        <v>0</v>
      </c>
      <c r="AR15" s="517">
        <f t="shared" si="8"/>
        <v>0</v>
      </c>
      <c r="AS15" s="517">
        <f t="shared" si="8"/>
        <v>0</v>
      </c>
      <c r="AT15" s="517">
        <f t="shared" si="8"/>
        <v>0</v>
      </c>
      <c r="AU15" s="517">
        <f t="shared" si="8"/>
        <v>0</v>
      </c>
      <c r="AV15" s="517">
        <f t="shared" si="8"/>
        <v>0</v>
      </c>
      <c r="AW15" s="517">
        <f t="shared" si="8"/>
        <v>0</v>
      </c>
      <c r="AX15" s="517">
        <f t="shared" si="8"/>
        <v>0</v>
      </c>
      <c r="AY15" s="517">
        <f t="shared" si="8"/>
        <v>0</v>
      </c>
      <c r="AZ15" s="517">
        <f t="shared" si="8"/>
        <v>0</v>
      </c>
      <c r="BA15" s="517">
        <f t="shared" si="8"/>
        <v>0</v>
      </c>
      <c r="BB15" s="517">
        <f t="shared" si="8"/>
        <v>0</v>
      </c>
      <c r="BC15" s="517">
        <f t="shared" si="8"/>
        <v>0</v>
      </c>
      <c r="BD15" s="517">
        <f t="shared" si="8"/>
        <v>0</v>
      </c>
      <c r="BE15" s="538">
        <f>SUM(טבלה3338[[#This Row],[1]:[50]])</f>
        <v>0</v>
      </c>
      <c r="BF15" s="538">
        <f>טבלה3338[[#This Row],[סה"כ]]</f>
        <v>0</v>
      </c>
      <c r="BG15" s="576" t="str">
        <f>טבלה3338[[#This Row],[פרודוקטים]]</f>
        <v>לחם פרוס אחיד</v>
      </c>
      <c r="BH15" s="579"/>
      <c r="BJ15" s="531"/>
      <c r="BK15" s="531"/>
      <c r="BL15" s="531"/>
    </row>
    <row r="16" spans="1:64">
      <c r="A16" s="518" t="s">
        <v>1011</v>
      </c>
      <c r="B16" s="518">
        <v>9502</v>
      </c>
      <c r="C16" s="518" t="s">
        <v>723</v>
      </c>
      <c r="D16" s="609" t="s">
        <v>736</v>
      </c>
      <c r="E16" s="609"/>
      <c r="F16" s="522">
        <v>120</v>
      </c>
      <c r="G16" s="517">
        <f>ROUNDUP($F16*(G$4+G$3),0)</f>
        <v>0</v>
      </c>
      <c r="H16" s="517">
        <f t="shared" ref="H16:BD16" si="10">ROUNDUP($F16*(H$4+H$3),0)</f>
        <v>0</v>
      </c>
      <c r="I16" s="517">
        <f t="shared" si="10"/>
        <v>0</v>
      </c>
      <c r="J16" s="517">
        <f t="shared" si="10"/>
        <v>0</v>
      </c>
      <c r="K16" s="517">
        <f t="shared" si="10"/>
        <v>0</v>
      </c>
      <c r="L16" s="517">
        <f t="shared" si="10"/>
        <v>0</v>
      </c>
      <c r="M16" s="517">
        <f t="shared" si="10"/>
        <v>0</v>
      </c>
      <c r="N16" s="517">
        <f t="shared" si="10"/>
        <v>0</v>
      </c>
      <c r="O16" s="517">
        <f t="shared" si="10"/>
        <v>0</v>
      </c>
      <c r="P16" s="517">
        <f t="shared" si="10"/>
        <v>0</v>
      </c>
      <c r="Q16" s="517">
        <f t="shared" si="10"/>
        <v>0</v>
      </c>
      <c r="R16" s="517">
        <f t="shared" si="10"/>
        <v>0</v>
      </c>
      <c r="S16" s="517">
        <f t="shared" si="10"/>
        <v>0</v>
      </c>
      <c r="T16" s="517">
        <f t="shared" si="10"/>
        <v>0</v>
      </c>
      <c r="U16" s="517">
        <f t="shared" si="10"/>
        <v>0</v>
      </c>
      <c r="V16" s="517">
        <f t="shared" si="10"/>
        <v>0</v>
      </c>
      <c r="W16" s="517">
        <f t="shared" si="10"/>
        <v>0</v>
      </c>
      <c r="X16" s="517">
        <f t="shared" si="10"/>
        <v>0</v>
      </c>
      <c r="Y16" s="517">
        <f t="shared" si="10"/>
        <v>0</v>
      </c>
      <c r="Z16" s="517">
        <f t="shared" si="10"/>
        <v>0</v>
      </c>
      <c r="AA16" s="517">
        <f t="shared" si="10"/>
        <v>0</v>
      </c>
      <c r="AB16" s="517">
        <f t="shared" si="10"/>
        <v>0</v>
      </c>
      <c r="AC16" s="517">
        <f t="shared" si="10"/>
        <v>0</v>
      </c>
      <c r="AD16" s="517">
        <f t="shared" si="10"/>
        <v>0</v>
      </c>
      <c r="AE16" s="517">
        <f t="shared" si="10"/>
        <v>0</v>
      </c>
      <c r="AF16" s="517">
        <f t="shared" si="10"/>
        <v>0</v>
      </c>
      <c r="AG16" s="517">
        <f t="shared" si="10"/>
        <v>0</v>
      </c>
      <c r="AH16" s="517">
        <f t="shared" si="10"/>
        <v>0</v>
      </c>
      <c r="AI16" s="517">
        <f t="shared" si="10"/>
        <v>0</v>
      </c>
      <c r="AJ16" s="517">
        <f t="shared" si="10"/>
        <v>0</v>
      </c>
      <c r="AK16" s="517">
        <f t="shared" si="10"/>
        <v>0</v>
      </c>
      <c r="AL16" s="517">
        <f t="shared" si="10"/>
        <v>0</v>
      </c>
      <c r="AM16" s="517">
        <f t="shared" si="10"/>
        <v>0</v>
      </c>
      <c r="AN16" s="517">
        <f t="shared" si="10"/>
        <v>0</v>
      </c>
      <c r="AO16" s="517">
        <f t="shared" si="10"/>
        <v>0</v>
      </c>
      <c r="AP16" s="517">
        <f t="shared" si="10"/>
        <v>0</v>
      </c>
      <c r="AQ16" s="517">
        <f t="shared" si="10"/>
        <v>0</v>
      </c>
      <c r="AR16" s="517">
        <f t="shared" si="10"/>
        <v>0</v>
      </c>
      <c r="AS16" s="517">
        <f t="shared" si="10"/>
        <v>0</v>
      </c>
      <c r="AT16" s="517">
        <f t="shared" si="10"/>
        <v>0</v>
      </c>
      <c r="AU16" s="517">
        <f t="shared" si="10"/>
        <v>0</v>
      </c>
      <c r="AV16" s="517">
        <f t="shared" si="10"/>
        <v>0</v>
      </c>
      <c r="AW16" s="517">
        <f t="shared" si="10"/>
        <v>0</v>
      </c>
      <c r="AX16" s="517">
        <f t="shared" si="10"/>
        <v>0</v>
      </c>
      <c r="AY16" s="517">
        <f t="shared" si="10"/>
        <v>0</v>
      </c>
      <c r="AZ16" s="517">
        <f t="shared" si="10"/>
        <v>0</v>
      </c>
      <c r="BA16" s="517">
        <f t="shared" si="10"/>
        <v>0</v>
      </c>
      <c r="BB16" s="517">
        <f t="shared" si="10"/>
        <v>0</v>
      </c>
      <c r="BC16" s="517">
        <f t="shared" si="10"/>
        <v>0</v>
      </c>
      <c r="BD16" s="517">
        <f t="shared" si="10"/>
        <v>0</v>
      </c>
      <c r="BE16" s="538">
        <f>SUM(טבלה3338[[#This Row],[1]:[50]])</f>
        <v>0</v>
      </c>
      <c r="BF16" s="538">
        <f>CEILING(טבלה3338[[#This Row],[סה"כ]],2000)/1000</f>
        <v>0</v>
      </c>
      <c r="BG16" s="576" t="str">
        <f>טבלה3338[[#This Row],[פרודוקטים]]</f>
        <v>לטקס תפוא</v>
      </c>
      <c r="BH16" s="579"/>
      <c r="BJ16" s="531"/>
      <c r="BK16" s="531"/>
      <c r="BL16" s="531"/>
    </row>
    <row r="17" spans="1:64">
      <c r="A17" s="518" t="s">
        <v>1011</v>
      </c>
      <c r="B17" s="518">
        <v>11710</v>
      </c>
      <c r="C17" s="518" t="s">
        <v>112</v>
      </c>
      <c r="D17" s="609" t="s">
        <v>629</v>
      </c>
      <c r="E17" s="609"/>
      <c r="F17" s="522">
        <v>1</v>
      </c>
      <c r="G17" s="517">
        <f>ROUNDUP($F17*G$5,0)</f>
        <v>0</v>
      </c>
      <c r="H17" s="517">
        <f t="shared" ref="H17:BD17" si="11">ROUNDUP($F17*H$5,0)</f>
        <v>0</v>
      </c>
      <c r="I17" s="517">
        <f t="shared" si="11"/>
        <v>0</v>
      </c>
      <c r="J17" s="517">
        <f t="shared" si="11"/>
        <v>0</v>
      </c>
      <c r="K17" s="517">
        <f t="shared" si="11"/>
        <v>0</v>
      </c>
      <c r="L17" s="517">
        <f t="shared" si="11"/>
        <v>0</v>
      </c>
      <c r="M17" s="517">
        <f t="shared" si="11"/>
        <v>0</v>
      </c>
      <c r="N17" s="517">
        <f t="shared" si="11"/>
        <v>0</v>
      </c>
      <c r="O17" s="517">
        <f t="shared" si="11"/>
        <v>0</v>
      </c>
      <c r="P17" s="517">
        <f t="shared" si="11"/>
        <v>0</v>
      </c>
      <c r="Q17" s="517">
        <f t="shared" si="11"/>
        <v>0</v>
      </c>
      <c r="R17" s="517">
        <f t="shared" si="11"/>
        <v>0</v>
      </c>
      <c r="S17" s="517">
        <f t="shared" si="11"/>
        <v>0</v>
      </c>
      <c r="T17" s="517">
        <f t="shared" si="11"/>
        <v>0</v>
      </c>
      <c r="U17" s="517">
        <f t="shared" si="11"/>
        <v>0</v>
      </c>
      <c r="V17" s="517">
        <f t="shared" si="11"/>
        <v>0</v>
      </c>
      <c r="W17" s="517">
        <f t="shared" si="11"/>
        <v>0</v>
      </c>
      <c r="X17" s="517">
        <f t="shared" si="11"/>
        <v>0</v>
      </c>
      <c r="Y17" s="517">
        <f t="shared" si="11"/>
        <v>0</v>
      </c>
      <c r="Z17" s="517">
        <f t="shared" si="11"/>
        <v>0</v>
      </c>
      <c r="AA17" s="517">
        <f t="shared" si="11"/>
        <v>0</v>
      </c>
      <c r="AB17" s="517">
        <f t="shared" si="11"/>
        <v>0</v>
      </c>
      <c r="AC17" s="517">
        <f t="shared" si="11"/>
        <v>0</v>
      </c>
      <c r="AD17" s="517">
        <f t="shared" si="11"/>
        <v>0</v>
      </c>
      <c r="AE17" s="517">
        <f t="shared" si="11"/>
        <v>0</v>
      </c>
      <c r="AF17" s="517">
        <f t="shared" si="11"/>
        <v>0</v>
      </c>
      <c r="AG17" s="517">
        <f t="shared" si="11"/>
        <v>0</v>
      </c>
      <c r="AH17" s="517">
        <f t="shared" si="11"/>
        <v>0</v>
      </c>
      <c r="AI17" s="517">
        <f t="shared" si="11"/>
        <v>0</v>
      </c>
      <c r="AJ17" s="517">
        <f t="shared" si="11"/>
        <v>0</v>
      </c>
      <c r="AK17" s="517">
        <f t="shared" si="11"/>
        <v>0</v>
      </c>
      <c r="AL17" s="517">
        <f t="shared" si="11"/>
        <v>0</v>
      </c>
      <c r="AM17" s="517">
        <f t="shared" si="11"/>
        <v>0</v>
      </c>
      <c r="AN17" s="517">
        <f t="shared" si="11"/>
        <v>0</v>
      </c>
      <c r="AO17" s="517">
        <f t="shared" si="11"/>
        <v>0</v>
      </c>
      <c r="AP17" s="517">
        <f t="shared" si="11"/>
        <v>0</v>
      </c>
      <c r="AQ17" s="517">
        <f t="shared" si="11"/>
        <v>0</v>
      </c>
      <c r="AR17" s="517">
        <f t="shared" si="11"/>
        <v>0</v>
      </c>
      <c r="AS17" s="517">
        <f t="shared" si="11"/>
        <v>0</v>
      </c>
      <c r="AT17" s="517">
        <f t="shared" si="11"/>
        <v>0</v>
      </c>
      <c r="AU17" s="517">
        <f t="shared" si="11"/>
        <v>0</v>
      </c>
      <c r="AV17" s="517">
        <f t="shared" si="11"/>
        <v>0</v>
      </c>
      <c r="AW17" s="517">
        <f t="shared" si="11"/>
        <v>0</v>
      </c>
      <c r="AX17" s="517">
        <f t="shared" si="11"/>
        <v>0</v>
      </c>
      <c r="AY17" s="517">
        <f t="shared" si="11"/>
        <v>0</v>
      </c>
      <c r="AZ17" s="517">
        <f t="shared" si="11"/>
        <v>0</v>
      </c>
      <c r="BA17" s="517">
        <f t="shared" si="11"/>
        <v>0</v>
      </c>
      <c r="BB17" s="517">
        <f t="shared" si="11"/>
        <v>0</v>
      </c>
      <c r="BC17" s="517">
        <f t="shared" si="11"/>
        <v>0</v>
      </c>
      <c r="BD17" s="517">
        <f t="shared" si="11"/>
        <v>0</v>
      </c>
      <c r="BE17" s="538">
        <f>SUM(טבלה3338[[#This Row],[1]:[50]])</f>
        <v>0</v>
      </c>
      <c r="BF17" s="538">
        <f>טבלה3338[[#This Row],[סה"כ]]</f>
        <v>0</v>
      </c>
      <c r="BG17" s="576" t="str">
        <f>טבלה3338[[#This Row],[פרודוקטים]]</f>
        <v>מנה צליאק</v>
      </c>
      <c r="BH17" s="579"/>
      <c r="BJ17" s="531"/>
      <c r="BK17" s="531"/>
      <c r="BL17" s="531"/>
    </row>
    <row r="18" spans="1:64">
      <c r="A18" s="518" t="s">
        <v>1011</v>
      </c>
      <c r="B18" s="518">
        <v>6689</v>
      </c>
      <c r="C18" s="518" t="s">
        <v>25</v>
      </c>
      <c r="D18" s="609" t="s">
        <v>878</v>
      </c>
      <c r="E18" s="609"/>
      <c r="F18" s="523">
        <f>1/5</f>
        <v>0.2</v>
      </c>
      <c r="G18" s="517">
        <f>ROUNDUP($F18*G$2,0)</f>
        <v>0</v>
      </c>
      <c r="H18" s="517">
        <f t="shared" ref="H18:BD18" si="12">ROUNDUP($F18*H$2,0)</f>
        <v>0</v>
      </c>
      <c r="I18" s="517">
        <f t="shared" si="12"/>
        <v>0</v>
      </c>
      <c r="J18" s="517">
        <f t="shared" si="12"/>
        <v>0</v>
      </c>
      <c r="K18" s="517">
        <f t="shared" si="12"/>
        <v>0</v>
      </c>
      <c r="L18" s="517">
        <f t="shared" si="12"/>
        <v>0</v>
      </c>
      <c r="M18" s="517">
        <f t="shared" ref="M18:T18" si="13">ROUNDUP($F18*M$2,0)</f>
        <v>0</v>
      </c>
      <c r="N18" s="517">
        <f t="shared" si="13"/>
        <v>0</v>
      </c>
      <c r="O18" s="517">
        <f t="shared" si="13"/>
        <v>0</v>
      </c>
      <c r="P18" s="517">
        <f t="shared" si="13"/>
        <v>0</v>
      </c>
      <c r="Q18" s="517">
        <f t="shared" si="13"/>
        <v>0</v>
      </c>
      <c r="R18" s="517">
        <f t="shared" si="13"/>
        <v>0</v>
      </c>
      <c r="S18" s="517">
        <f t="shared" si="13"/>
        <v>0</v>
      </c>
      <c r="T18" s="517">
        <f t="shared" si="13"/>
        <v>0</v>
      </c>
      <c r="U18" s="517">
        <f t="shared" si="12"/>
        <v>0</v>
      </c>
      <c r="V18" s="517">
        <f t="shared" si="12"/>
        <v>0</v>
      </c>
      <c r="W18" s="517">
        <f t="shared" si="12"/>
        <v>0</v>
      </c>
      <c r="X18" s="517">
        <f t="shared" si="12"/>
        <v>0</v>
      </c>
      <c r="Y18" s="517">
        <f t="shared" si="12"/>
        <v>0</v>
      </c>
      <c r="Z18" s="517">
        <f t="shared" si="12"/>
        <v>0</v>
      </c>
      <c r="AA18" s="517">
        <f t="shared" si="12"/>
        <v>0</v>
      </c>
      <c r="AB18" s="517">
        <f t="shared" si="12"/>
        <v>0</v>
      </c>
      <c r="AC18" s="517">
        <f t="shared" si="12"/>
        <v>0</v>
      </c>
      <c r="AD18" s="517">
        <f t="shared" si="12"/>
        <v>0</v>
      </c>
      <c r="AE18" s="517">
        <f t="shared" si="12"/>
        <v>0</v>
      </c>
      <c r="AF18" s="517">
        <f t="shared" si="12"/>
        <v>0</v>
      </c>
      <c r="AG18" s="517">
        <f t="shared" si="12"/>
        <v>0</v>
      </c>
      <c r="AH18" s="517">
        <f t="shared" si="12"/>
        <v>0</v>
      </c>
      <c r="AI18" s="517">
        <f t="shared" si="12"/>
        <v>0</v>
      </c>
      <c r="AJ18" s="517">
        <f t="shared" si="12"/>
        <v>0</v>
      </c>
      <c r="AK18" s="517">
        <f t="shared" si="12"/>
        <v>0</v>
      </c>
      <c r="AL18" s="517">
        <f t="shared" si="12"/>
        <v>0</v>
      </c>
      <c r="AM18" s="517">
        <f t="shared" si="12"/>
        <v>0</v>
      </c>
      <c r="AN18" s="517">
        <f t="shared" si="12"/>
        <v>0</v>
      </c>
      <c r="AO18" s="517">
        <f t="shared" si="12"/>
        <v>0</v>
      </c>
      <c r="AP18" s="517">
        <f t="shared" si="12"/>
        <v>0</v>
      </c>
      <c r="AQ18" s="517">
        <f t="shared" si="12"/>
        <v>0</v>
      </c>
      <c r="AR18" s="517">
        <f t="shared" si="12"/>
        <v>0</v>
      </c>
      <c r="AS18" s="517">
        <f t="shared" si="12"/>
        <v>0</v>
      </c>
      <c r="AT18" s="517">
        <f t="shared" si="12"/>
        <v>0</v>
      </c>
      <c r="AU18" s="517">
        <f t="shared" si="12"/>
        <v>0</v>
      </c>
      <c r="AV18" s="517">
        <f t="shared" si="12"/>
        <v>0</v>
      </c>
      <c r="AW18" s="517">
        <f t="shared" si="12"/>
        <v>0</v>
      </c>
      <c r="AX18" s="517">
        <f t="shared" si="12"/>
        <v>0</v>
      </c>
      <c r="AY18" s="517">
        <f t="shared" si="12"/>
        <v>0</v>
      </c>
      <c r="AZ18" s="517">
        <f t="shared" si="12"/>
        <v>0</v>
      </c>
      <c r="BA18" s="517">
        <f t="shared" si="12"/>
        <v>0</v>
      </c>
      <c r="BB18" s="517">
        <f t="shared" si="12"/>
        <v>0</v>
      </c>
      <c r="BC18" s="517">
        <f t="shared" si="12"/>
        <v>0</v>
      </c>
      <c r="BD18" s="517">
        <f t="shared" si="12"/>
        <v>0</v>
      </c>
      <c r="BE18" s="538">
        <f>SUM(טבלה3338[[#This Row],[1]:[50]])</f>
        <v>0</v>
      </c>
      <c r="BF18" s="538">
        <f>טבלה3338[[#This Row],[סה"כ]]</f>
        <v>0</v>
      </c>
      <c r="BG18" s="576" t="str">
        <f>טבלה3338[[#This Row],[פרודוקטים]]</f>
        <v>שמן</v>
      </c>
      <c r="BH18" s="579"/>
      <c r="BJ18" s="531"/>
      <c r="BK18" s="531"/>
      <c r="BL18" s="531"/>
    </row>
    <row r="19" spans="1:64">
      <c r="A19" s="518" t="s">
        <v>1011</v>
      </c>
      <c r="B19" s="518">
        <v>6600</v>
      </c>
      <c r="C19" s="518" t="s">
        <v>106</v>
      </c>
      <c r="D19" s="609" t="s">
        <v>924</v>
      </c>
      <c r="E19" s="609"/>
      <c r="F19" s="523">
        <v>50</v>
      </c>
      <c r="G19" s="517">
        <f>IF(G$2&gt;0,$F19,0)</f>
        <v>0</v>
      </c>
      <c r="H19" s="517">
        <f t="shared" ref="H19:BD19" si="14">IF(H$2&gt;0,$F19,0)</f>
        <v>0</v>
      </c>
      <c r="I19" s="517">
        <f t="shared" si="14"/>
        <v>0</v>
      </c>
      <c r="J19" s="517">
        <f t="shared" si="14"/>
        <v>0</v>
      </c>
      <c r="K19" s="517">
        <f t="shared" si="14"/>
        <v>0</v>
      </c>
      <c r="L19" s="517">
        <f t="shared" si="14"/>
        <v>0</v>
      </c>
      <c r="M19" s="517">
        <f t="shared" ref="M19:T19" si="15">IF(M$2&gt;0,$F19,0)</f>
        <v>0</v>
      </c>
      <c r="N19" s="517">
        <f t="shared" si="15"/>
        <v>0</v>
      </c>
      <c r="O19" s="517">
        <f t="shared" si="15"/>
        <v>0</v>
      </c>
      <c r="P19" s="517">
        <f t="shared" si="15"/>
        <v>0</v>
      </c>
      <c r="Q19" s="517">
        <f t="shared" si="15"/>
        <v>0</v>
      </c>
      <c r="R19" s="517">
        <f t="shared" si="15"/>
        <v>0</v>
      </c>
      <c r="S19" s="517">
        <f t="shared" si="15"/>
        <v>0</v>
      </c>
      <c r="T19" s="517">
        <f t="shared" si="15"/>
        <v>0</v>
      </c>
      <c r="U19" s="517">
        <f t="shared" si="14"/>
        <v>0</v>
      </c>
      <c r="V19" s="517">
        <f t="shared" si="14"/>
        <v>0</v>
      </c>
      <c r="W19" s="517">
        <f t="shared" si="14"/>
        <v>0</v>
      </c>
      <c r="X19" s="517">
        <f t="shared" si="14"/>
        <v>0</v>
      </c>
      <c r="Y19" s="517">
        <f t="shared" si="14"/>
        <v>0</v>
      </c>
      <c r="Z19" s="517">
        <f t="shared" si="14"/>
        <v>0</v>
      </c>
      <c r="AA19" s="517">
        <f t="shared" si="14"/>
        <v>0</v>
      </c>
      <c r="AB19" s="517">
        <f t="shared" si="14"/>
        <v>0</v>
      </c>
      <c r="AC19" s="517">
        <f t="shared" si="14"/>
        <v>0</v>
      </c>
      <c r="AD19" s="517">
        <f t="shared" si="14"/>
        <v>0</v>
      </c>
      <c r="AE19" s="517">
        <f t="shared" si="14"/>
        <v>0</v>
      </c>
      <c r="AF19" s="517">
        <f t="shared" si="14"/>
        <v>0</v>
      </c>
      <c r="AG19" s="517">
        <f t="shared" si="14"/>
        <v>0</v>
      </c>
      <c r="AH19" s="517">
        <f t="shared" si="14"/>
        <v>0</v>
      </c>
      <c r="AI19" s="517">
        <f t="shared" si="14"/>
        <v>0</v>
      </c>
      <c r="AJ19" s="517">
        <f t="shared" si="14"/>
        <v>0</v>
      </c>
      <c r="AK19" s="517">
        <f t="shared" si="14"/>
        <v>0</v>
      </c>
      <c r="AL19" s="517">
        <f t="shared" si="14"/>
        <v>0</v>
      </c>
      <c r="AM19" s="517">
        <f t="shared" si="14"/>
        <v>0</v>
      </c>
      <c r="AN19" s="517">
        <f t="shared" si="14"/>
        <v>0</v>
      </c>
      <c r="AO19" s="517">
        <f t="shared" si="14"/>
        <v>0</v>
      </c>
      <c r="AP19" s="517">
        <f t="shared" si="14"/>
        <v>0</v>
      </c>
      <c r="AQ19" s="517">
        <f t="shared" si="14"/>
        <v>0</v>
      </c>
      <c r="AR19" s="517">
        <f t="shared" si="14"/>
        <v>0</v>
      </c>
      <c r="AS19" s="517">
        <f t="shared" si="14"/>
        <v>0</v>
      </c>
      <c r="AT19" s="517">
        <f t="shared" si="14"/>
        <v>0</v>
      </c>
      <c r="AU19" s="517">
        <f t="shared" si="14"/>
        <v>0</v>
      </c>
      <c r="AV19" s="517">
        <f t="shared" si="14"/>
        <v>0</v>
      </c>
      <c r="AW19" s="517">
        <f t="shared" si="14"/>
        <v>0</v>
      </c>
      <c r="AX19" s="517">
        <f t="shared" si="14"/>
        <v>0</v>
      </c>
      <c r="AY19" s="517">
        <f t="shared" si="14"/>
        <v>0</v>
      </c>
      <c r="AZ19" s="517">
        <f t="shared" si="14"/>
        <v>0</v>
      </c>
      <c r="BA19" s="517">
        <f t="shared" si="14"/>
        <v>0</v>
      </c>
      <c r="BB19" s="517">
        <f t="shared" si="14"/>
        <v>0</v>
      </c>
      <c r="BC19" s="517">
        <f t="shared" si="14"/>
        <v>0</v>
      </c>
      <c r="BD19" s="517">
        <f t="shared" si="14"/>
        <v>0</v>
      </c>
      <c r="BE19" s="538">
        <f>SUM(טבלה3338[[#This Row],[1]:[50]])</f>
        <v>0</v>
      </c>
      <c r="BF19" s="538">
        <f>CEILING(טבלה3338[[#This Row],[סה"כ]],1000)/1000</f>
        <v>0</v>
      </c>
      <c r="BG19" s="576" t="str">
        <f>טבלה3338[[#This Row],[פרודוקטים]]</f>
        <v>מלח</v>
      </c>
      <c r="BH19" s="579"/>
      <c r="BJ19" s="531"/>
      <c r="BK19" s="531"/>
      <c r="BL19" s="531"/>
    </row>
    <row r="20" spans="1:64">
      <c r="A20" s="518" t="s">
        <v>1011</v>
      </c>
      <c r="B20" s="518">
        <v>688</v>
      </c>
      <c r="C20" s="518" t="s">
        <v>727</v>
      </c>
      <c r="D20" s="609" t="s">
        <v>925</v>
      </c>
      <c r="E20" s="609"/>
      <c r="F20" s="523">
        <v>20</v>
      </c>
      <c r="G20" s="517">
        <f>IF(G$2&gt;0,טבלה3338[[#This Row],[מפתח2]],0)</f>
        <v>0</v>
      </c>
      <c r="H20" s="517">
        <f>IF(H$2&gt;0,טבלה3338[[#This Row],[1]],0)</f>
        <v>0</v>
      </c>
      <c r="I20" s="517">
        <f>IF(I$2&gt;0,טבלה3338[[#This Row],[1]],0)</f>
        <v>0</v>
      </c>
      <c r="J20" s="517">
        <f>IF(J$2&gt;0,טבלה3338[[#This Row],[1]],0)</f>
        <v>0</v>
      </c>
      <c r="K20" s="517">
        <f>IF(K$2&gt;0,טבלה3338[[#This Row],[1]],0)</f>
        <v>0</v>
      </c>
      <c r="L20" s="517">
        <f>IF(L$2&gt;0,טבלה3338[[#This Row],[1]],0)</f>
        <v>0</v>
      </c>
      <c r="M20" s="517">
        <f>IF(M$2&gt;0,טבלה3338[[#This Row],[1]],0)</f>
        <v>0</v>
      </c>
      <c r="N20" s="517">
        <f>IF(N$2&gt;0,טבלה3338[[#This Row],[1]],0)</f>
        <v>0</v>
      </c>
      <c r="O20" s="517">
        <f>IF(O$2&gt;0,טבלה3338[[#This Row],[1]],0)</f>
        <v>0</v>
      </c>
      <c r="P20" s="517">
        <f>IF(P$2&gt;0,טבלה3338[[#This Row],[1]],0)</f>
        <v>0</v>
      </c>
      <c r="Q20" s="517">
        <f>IF(Q$2&gt;0,טבלה3338[[#This Row],[1]],0)</f>
        <v>0</v>
      </c>
      <c r="R20" s="517">
        <f>IF(R$2&gt;0,טבלה3338[[#This Row],[1]],0)</f>
        <v>0</v>
      </c>
      <c r="S20" s="517">
        <f>IF(S$2&gt;0,טבלה3338[[#This Row],[1]],0)</f>
        <v>0</v>
      </c>
      <c r="T20" s="517">
        <f>IF(T$2&gt;0,טבלה3338[[#This Row],[1]],0)</f>
        <v>0</v>
      </c>
      <c r="U20" s="517">
        <f t="shared" ref="U20:BD20" si="16">IF(U$2&gt;0,1,0)</f>
        <v>0</v>
      </c>
      <c r="V20" s="517">
        <f t="shared" si="16"/>
        <v>0</v>
      </c>
      <c r="W20" s="517">
        <f t="shared" si="16"/>
        <v>0</v>
      </c>
      <c r="X20" s="517">
        <f t="shared" si="16"/>
        <v>0</v>
      </c>
      <c r="Y20" s="517">
        <f t="shared" si="16"/>
        <v>0</v>
      </c>
      <c r="Z20" s="517">
        <f t="shared" si="16"/>
        <v>0</v>
      </c>
      <c r="AA20" s="517">
        <f t="shared" si="16"/>
        <v>0</v>
      </c>
      <c r="AB20" s="517">
        <f t="shared" si="16"/>
        <v>0</v>
      </c>
      <c r="AC20" s="517">
        <f t="shared" si="16"/>
        <v>0</v>
      </c>
      <c r="AD20" s="517">
        <f t="shared" si="16"/>
        <v>0</v>
      </c>
      <c r="AE20" s="517">
        <f t="shared" si="16"/>
        <v>0</v>
      </c>
      <c r="AF20" s="517">
        <f t="shared" si="16"/>
        <v>0</v>
      </c>
      <c r="AG20" s="517">
        <f t="shared" si="16"/>
        <v>0</v>
      </c>
      <c r="AH20" s="517">
        <f t="shared" si="16"/>
        <v>0</v>
      </c>
      <c r="AI20" s="517">
        <f t="shared" si="16"/>
        <v>0</v>
      </c>
      <c r="AJ20" s="517">
        <f t="shared" si="16"/>
        <v>0</v>
      </c>
      <c r="AK20" s="517">
        <f t="shared" si="16"/>
        <v>0</v>
      </c>
      <c r="AL20" s="517">
        <f t="shared" si="16"/>
        <v>0</v>
      </c>
      <c r="AM20" s="517">
        <f t="shared" si="16"/>
        <v>0</v>
      </c>
      <c r="AN20" s="517">
        <f t="shared" si="16"/>
        <v>0</v>
      </c>
      <c r="AO20" s="517">
        <f t="shared" si="16"/>
        <v>0</v>
      </c>
      <c r="AP20" s="517">
        <f t="shared" si="16"/>
        <v>0</v>
      </c>
      <c r="AQ20" s="517">
        <f t="shared" si="16"/>
        <v>0</v>
      </c>
      <c r="AR20" s="517">
        <f t="shared" si="16"/>
        <v>0</v>
      </c>
      <c r="AS20" s="517">
        <f t="shared" si="16"/>
        <v>0</v>
      </c>
      <c r="AT20" s="517">
        <f t="shared" si="16"/>
        <v>0</v>
      </c>
      <c r="AU20" s="517">
        <f t="shared" si="16"/>
        <v>0</v>
      </c>
      <c r="AV20" s="517">
        <f t="shared" si="16"/>
        <v>0</v>
      </c>
      <c r="AW20" s="517">
        <f t="shared" si="16"/>
        <v>0</v>
      </c>
      <c r="AX20" s="517">
        <f t="shared" si="16"/>
        <v>0</v>
      </c>
      <c r="AY20" s="517">
        <f t="shared" si="16"/>
        <v>0</v>
      </c>
      <c r="AZ20" s="517">
        <f t="shared" si="16"/>
        <v>0</v>
      </c>
      <c r="BA20" s="517">
        <f t="shared" si="16"/>
        <v>0</v>
      </c>
      <c r="BB20" s="517">
        <f t="shared" si="16"/>
        <v>0</v>
      </c>
      <c r="BC20" s="517">
        <f t="shared" si="16"/>
        <v>0</v>
      </c>
      <c r="BD20" s="517">
        <f t="shared" si="16"/>
        <v>0</v>
      </c>
      <c r="BE20" s="538">
        <f>SUM(טבלה3338[[#This Row],[1]:[50]])</f>
        <v>0</v>
      </c>
      <c r="BF20" s="538">
        <f>CEILING(טבלה3338[[#This Row],[סה"כ]],1000)/1000</f>
        <v>0</v>
      </c>
      <c r="BG20" s="576" t="str">
        <f>טבלה3338[[#This Row],[פרודוקטים]]</f>
        <v>פלפל</v>
      </c>
      <c r="BH20" s="579"/>
      <c r="BJ20" s="531"/>
      <c r="BK20" s="531"/>
      <c r="BL20" s="531"/>
    </row>
    <row r="21" spans="1:64">
      <c r="A21" s="518" t="s">
        <v>1011</v>
      </c>
      <c r="B21" s="518" t="s">
        <v>574</v>
      </c>
      <c r="C21" s="518" t="s">
        <v>32</v>
      </c>
      <c r="D21" s="609" t="s">
        <v>729</v>
      </c>
      <c r="E21" s="609"/>
      <c r="F21" s="522">
        <v>1.2</v>
      </c>
      <c r="G21" s="517">
        <f>ROUNDUP($F21*G$2,0)</f>
        <v>0</v>
      </c>
      <c r="H21" s="517">
        <f t="shared" ref="H21:BD24" si="17">ROUNDUP($F21*H$2,0)</f>
        <v>0</v>
      </c>
      <c r="I21" s="517">
        <f t="shared" si="17"/>
        <v>0</v>
      </c>
      <c r="J21" s="517">
        <f t="shared" si="17"/>
        <v>0</v>
      </c>
      <c r="K21" s="517">
        <f t="shared" si="17"/>
        <v>0</v>
      </c>
      <c r="L21" s="517">
        <f t="shared" si="17"/>
        <v>0</v>
      </c>
      <c r="M21" s="517">
        <f t="shared" ref="M21:T24" si="18">ROUNDUP($F21*M$2,0)</f>
        <v>0</v>
      </c>
      <c r="N21" s="517">
        <f t="shared" si="18"/>
        <v>0</v>
      </c>
      <c r="O21" s="517">
        <f t="shared" si="18"/>
        <v>0</v>
      </c>
      <c r="P21" s="517">
        <f t="shared" si="18"/>
        <v>0</v>
      </c>
      <c r="Q21" s="517">
        <f t="shared" si="18"/>
        <v>0</v>
      </c>
      <c r="R21" s="517">
        <f t="shared" si="18"/>
        <v>0</v>
      </c>
      <c r="S21" s="517">
        <f t="shared" si="18"/>
        <v>0</v>
      </c>
      <c r="T21" s="517">
        <f t="shared" si="18"/>
        <v>0</v>
      </c>
      <c r="U21" s="517">
        <f t="shared" si="17"/>
        <v>0</v>
      </c>
      <c r="V21" s="517">
        <f t="shared" si="17"/>
        <v>0</v>
      </c>
      <c r="W21" s="517">
        <f t="shared" si="17"/>
        <v>0</v>
      </c>
      <c r="X21" s="517">
        <f t="shared" si="17"/>
        <v>0</v>
      </c>
      <c r="Y21" s="517">
        <f t="shared" si="17"/>
        <v>0</v>
      </c>
      <c r="Z21" s="517">
        <f t="shared" si="17"/>
        <v>0</v>
      </c>
      <c r="AA21" s="517">
        <f t="shared" si="17"/>
        <v>0</v>
      </c>
      <c r="AB21" s="517">
        <f t="shared" si="17"/>
        <v>0</v>
      </c>
      <c r="AC21" s="517">
        <f t="shared" si="17"/>
        <v>0</v>
      </c>
      <c r="AD21" s="517">
        <f t="shared" si="17"/>
        <v>0</v>
      </c>
      <c r="AE21" s="517">
        <f t="shared" si="17"/>
        <v>0</v>
      </c>
      <c r="AF21" s="517">
        <f t="shared" si="17"/>
        <v>0</v>
      </c>
      <c r="AG21" s="517">
        <f t="shared" si="17"/>
        <v>0</v>
      </c>
      <c r="AH21" s="517">
        <f t="shared" si="17"/>
        <v>0</v>
      </c>
      <c r="AI21" s="517">
        <f t="shared" si="17"/>
        <v>0</v>
      </c>
      <c r="AJ21" s="517">
        <f t="shared" si="17"/>
        <v>0</v>
      </c>
      <c r="AK21" s="517">
        <f t="shared" si="17"/>
        <v>0</v>
      </c>
      <c r="AL21" s="517">
        <f t="shared" si="17"/>
        <v>0</v>
      </c>
      <c r="AM21" s="517">
        <f t="shared" si="17"/>
        <v>0</v>
      </c>
      <c r="AN21" s="517">
        <f t="shared" si="17"/>
        <v>0</v>
      </c>
      <c r="AO21" s="517">
        <f t="shared" si="17"/>
        <v>0</v>
      </c>
      <c r="AP21" s="517">
        <f t="shared" si="17"/>
        <v>0</v>
      </c>
      <c r="AQ21" s="517">
        <f t="shared" si="17"/>
        <v>0</v>
      </c>
      <c r="AR21" s="517">
        <f t="shared" si="17"/>
        <v>0</v>
      </c>
      <c r="AS21" s="517">
        <f t="shared" si="17"/>
        <v>0</v>
      </c>
      <c r="AT21" s="517">
        <f t="shared" si="17"/>
        <v>0</v>
      </c>
      <c r="AU21" s="517">
        <f t="shared" si="17"/>
        <v>0</v>
      </c>
      <c r="AV21" s="517">
        <f t="shared" si="17"/>
        <v>0</v>
      </c>
      <c r="AW21" s="517">
        <f t="shared" si="17"/>
        <v>0</v>
      </c>
      <c r="AX21" s="517">
        <f t="shared" si="17"/>
        <v>0</v>
      </c>
      <c r="AY21" s="517">
        <f t="shared" si="17"/>
        <v>0</v>
      </c>
      <c r="AZ21" s="517">
        <f t="shared" si="17"/>
        <v>0</v>
      </c>
      <c r="BA21" s="517">
        <f t="shared" si="17"/>
        <v>0</v>
      </c>
      <c r="BB21" s="517">
        <f t="shared" si="17"/>
        <v>0</v>
      </c>
      <c r="BC21" s="517">
        <f t="shared" si="17"/>
        <v>0</v>
      </c>
      <c r="BD21" s="517">
        <f t="shared" si="17"/>
        <v>0</v>
      </c>
      <c r="BE21" s="538">
        <f>SUM(טבלה3338[[#This Row],[1]:[50]])</f>
        <v>0</v>
      </c>
      <c r="BF21" s="538">
        <f>CEILING(טבלה3338[[#This Row],[סה"כ]],100)</f>
        <v>0</v>
      </c>
      <c r="BG21" s="576" t="str">
        <f>טבלה3338[[#This Row],[פרודוקטים]]</f>
        <v>סכין</v>
      </c>
      <c r="BH21" s="579"/>
      <c r="BJ21" s="531"/>
      <c r="BK21" s="531"/>
      <c r="BL21" s="531"/>
    </row>
    <row r="22" spans="1:64">
      <c r="A22" s="518" t="s">
        <v>1011</v>
      </c>
      <c r="B22" s="518" t="s">
        <v>575</v>
      </c>
      <c r="C22" s="518" t="s">
        <v>33</v>
      </c>
      <c r="D22" s="609" t="s">
        <v>729</v>
      </c>
      <c r="E22" s="609"/>
      <c r="F22" s="522">
        <v>1.2</v>
      </c>
      <c r="G22" s="517">
        <f>ROUNDUP($F22*G$2,0)</f>
        <v>0</v>
      </c>
      <c r="H22" s="517">
        <f t="shared" si="17"/>
        <v>0</v>
      </c>
      <c r="I22" s="517">
        <f t="shared" si="17"/>
        <v>0</v>
      </c>
      <c r="J22" s="517">
        <f t="shared" si="17"/>
        <v>0</v>
      </c>
      <c r="K22" s="517">
        <f t="shared" si="17"/>
        <v>0</v>
      </c>
      <c r="L22" s="517">
        <f t="shared" si="17"/>
        <v>0</v>
      </c>
      <c r="M22" s="517">
        <f t="shared" si="18"/>
        <v>0</v>
      </c>
      <c r="N22" s="517">
        <f t="shared" si="18"/>
        <v>0</v>
      </c>
      <c r="O22" s="517">
        <f t="shared" si="18"/>
        <v>0</v>
      </c>
      <c r="P22" s="517">
        <f t="shared" si="18"/>
        <v>0</v>
      </c>
      <c r="Q22" s="517">
        <f t="shared" si="18"/>
        <v>0</v>
      </c>
      <c r="R22" s="517">
        <f t="shared" si="18"/>
        <v>0</v>
      </c>
      <c r="S22" s="517">
        <f t="shared" si="18"/>
        <v>0</v>
      </c>
      <c r="T22" s="517">
        <f t="shared" si="18"/>
        <v>0</v>
      </c>
      <c r="U22" s="517">
        <f t="shared" si="17"/>
        <v>0</v>
      </c>
      <c r="V22" s="517">
        <f t="shared" si="17"/>
        <v>0</v>
      </c>
      <c r="W22" s="517">
        <f t="shared" si="17"/>
        <v>0</v>
      </c>
      <c r="X22" s="517">
        <f t="shared" si="17"/>
        <v>0</v>
      </c>
      <c r="Y22" s="517">
        <f t="shared" si="17"/>
        <v>0</v>
      </c>
      <c r="Z22" s="517">
        <f t="shared" si="17"/>
        <v>0</v>
      </c>
      <c r="AA22" s="517">
        <f t="shared" si="17"/>
        <v>0</v>
      </c>
      <c r="AB22" s="517">
        <f t="shared" si="17"/>
        <v>0</v>
      </c>
      <c r="AC22" s="517">
        <f t="shared" si="17"/>
        <v>0</v>
      </c>
      <c r="AD22" s="517">
        <f t="shared" si="17"/>
        <v>0</v>
      </c>
      <c r="AE22" s="517">
        <f t="shared" si="17"/>
        <v>0</v>
      </c>
      <c r="AF22" s="517">
        <f t="shared" si="17"/>
        <v>0</v>
      </c>
      <c r="AG22" s="517">
        <f t="shared" si="17"/>
        <v>0</v>
      </c>
      <c r="AH22" s="517">
        <f t="shared" si="17"/>
        <v>0</v>
      </c>
      <c r="AI22" s="517">
        <f t="shared" si="17"/>
        <v>0</v>
      </c>
      <c r="AJ22" s="517">
        <f t="shared" si="17"/>
        <v>0</v>
      </c>
      <c r="AK22" s="517">
        <f t="shared" si="17"/>
        <v>0</v>
      </c>
      <c r="AL22" s="517">
        <f t="shared" si="17"/>
        <v>0</v>
      </c>
      <c r="AM22" s="517">
        <f t="shared" si="17"/>
        <v>0</v>
      </c>
      <c r="AN22" s="517">
        <f t="shared" si="17"/>
        <v>0</v>
      </c>
      <c r="AO22" s="517">
        <f t="shared" si="17"/>
        <v>0</v>
      </c>
      <c r="AP22" s="517">
        <f t="shared" si="17"/>
        <v>0</v>
      </c>
      <c r="AQ22" s="517">
        <f t="shared" si="17"/>
        <v>0</v>
      </c>
      <c r="AR22" s="517">
        <f t="shared" si="17"/>
        <v>0</v>
      </c>
      <c r="AS22" s="517">
        <f t="shared" si="17"/>
        <v>0</v>
      </c>
      <c r="AT22" s="517">
        <f t="shared" si="17"/>
        <v>0</v>
      </c>
      <c r="AU22" s="517">
        <f t="shared" si="17"/>
        <v>0</v>
      </c>
      <c r="AV22" s="517">
        <f t="shared" si="17"/>
        <v>0</v>
      </c>
      <c r="AW22" s="517">
        <f t="shared" si="17"/>
        <v>0</v>
      </c>
      <c r="AX22" s="517">
        <f t="shared" si="17"/>
        <v>0</v>
      </c>
      <c r="AY22" s="517">
        <f t="shared" si="17"/>
        <v>0</v>
      </c>
      <c r="AZ22" s="517">
        <f t="shared" si="17"/>
        <v>0</v>
      </c>
      <c r="BA22" s="517">
        <f t="shared" si="17"/>
        <v>0</v>
      </c>
      <c r="BB22" s="517">
        <f t="shared" si="17"/>
        <v>0</v>
      </c>
      <c r="BC22" s="517">
        <f t="shared" si="17"/>
        <v>0</v>
      </c>
      <c r="BD22" s="517">
        <f t="shared" si="17"/>
        <v>0</v>
      </c>
      <c r="BE22" s="538">
        <f>SUM(טבלה3338[[#This Row],[1]:[50]])</f>
        <v>0</v>
      </c>
      <c r="BF22" s="538">
        <f>CEILING(טבלה3338[[#This Row],[סה"כ]],100)</f>
        <v>0</v>
      </c>
      <c r="BG22" s="576" t="str">
        <f>טבלה3338[[#This Row],[פרודוקטים]]</f>
        <v>מזלג</v>
      </c>
      <c r="BH22" s="579"/>
      <c r="BJ22" s="531"/>
      <c r="BK22" s="531"/>
      <c r="BL22" s="531"/>
    </row>
    <row r="23" spans="1:64">
      <c r="A23" s="518" t="s">
        <v>1011</v>
      </c>
      <c r="B23" s="518" t="s">
        <v>570</v>
      </c>
      <c r="C23" s="518" t="s">
        <v>29</v>
      </c>
      <c r="D23" s="609" t="s">
        <v>729</v>
      </c>
      <c r="E23" s="609"/>
      <c r="F23" s="522">
        <v>1.2</v>
      </c>
      <c r="G23" s="517">
        <f>ROUNDUP($F23*G$2,0)</f>
        <v>0</v>
      </c>
      <c r="H23" s="517">
        <f t="shared" si="17"/>
        <v>0</v>
      </c>
      <c r="I23" s="517">
        <f t="shared" si="17"/>
        <v>0</v>
      </c>
      <c r="J23" s="517">
        <f t="shared" si="17"/>
        <v>0</v>
      </c>
      <c r="K23" s="517">
        <f t="shared" si="17"/>
        <v>0</v>
      </c>
      <c r="L23" s="517">
        <f t="shared" si="17"/>
        <v>0</v>
      </c>
      <c r="M23" s="517">
        <f t="shared" si="18"/>
        <v>0</v>
      </c>
      <c r="N23" s="517">
        <f t="shared" si="18"/>
        <v>0</v>
      </c>
      <c r="O23" s="517">
        <f t="shared" si="18"/>
        <v>0</v>
      </c>
      <c r="P23" s="517">
        <f t="shared" si="18"/>
        <v>0</v>
      </c>
      <c r="Q23" s="517">
        <f t="shared" si="18"/>
        <v>0</v>
      </c>
      <c r="R23" s="517">
        <f t="shared" si="18"/>
        <v>0</v>
      </c>
      <c r="S23" s="517">
        <f t="shared" si="18"/>
        <v>0</v>
      </c>
      <c r="T23" s="517">
        <f t="shared" si="18"/>
        <v>0</v>
      </c>
      <c r="U23" s="517">
        <f t="shared" si="17"/>
        <v>0</v>
      </c>
      <c r="V23" s="517">
        <f t="shared" si="17"/>
        <v>0</v>
      </c>
      <c r="W23" s="517">
        <f t="shared" si="17"/>
        <v>0</v>
      </c>
      <c r="X23" s="517">
        <f t="shared" si="17"/>
        <v>0</v>
      </c>
      <c r="Y23" s="517">
        <f t="shared" si="17"/>
        <v>0</v>
      </c>
      <c r="Z23" s="517">
        <f t="shared" si="17"/>
        <v>0</v>
      </c>
      <c r="AA23" s="517">
        <f t="shared" si="17"/>
        <v>0</v>
      </c>
      <c r="AB23" s="517">
        <f t="shared" si="17"/>
        <v>0</v>
      </c>
      <c r="AC23" s="517">
        <f t="shared" si="17"/>
        <v>0</v>
      </c>
      <c r="AD23" s="517">
        <f t="shared" si="17"/>
        <v>0</v>
      </c>
      <c r="AE23" s="517">
        <f t="shared" si="17"/>
        <v>0</v>
      </c>
      <c r="AF23" s="517">
        <f t="shared" si="17"/>
        <v>0</v>
      </c>
      <c r="AG23" s="517">
        <f t="shared" si="17"/>
        <v>0</v>
      </c>
      <c r="AH23" s="517">
        <f t="shared" si="17"/>
        <v>0</v>
      </c>
      <c r="AI23" s="517">
        <f t="shared" si="17"/>
        <v>0</v>
      </c>
      <c r="AJ23" s="517">
        <f t="shared" si="17"/>
        <v>0</v>
      </c>
      <c r="AK23" s="517">
        <f t="shared" si="17"/>
        <v>0</v>
      </c>
      <c r="AL23" s="517">
        <f t="shared" si="17"/>
        <v>0</v>
      </c>
      <c r="AM23" s="517">
        <f t="shared" si="17"/>
        <v>0</v>
      </c>
      <c r="AN23" s="517">
        <f t="shared" si="17"/>
        <v>0</v>
      </c>
      <c r="AO23" s="517">
        <f t="shared" si="17"/>
        <v>0</v>
      </c>
      <c r="AP23" s="517">
        <f t="shared" si="17"/>
        <v>0</v>
      </c>
      <c r="AQ23" s="517">
        <f t="shared" si="17"/>
        <v>0</v>
      </c>
      <c r="AR23" s="517">
        <f t="shared" si="17"/>
        <v>0</v>
      </c>
      <c r="AS23" s="517">
        <f t="shared" si="17"/>
        <v>0</v>
      </c>
      <c r="AT23" s="517">
        <f t="shared" si="17"/>
        <v>0</v>
      </c>
      <c r="AU23" s="517">
        <f t="shared" si="17"/>
        <v>0</v>
      </c>
      <c r="AV23" s="517">
        <f t="shared" si="17"/>
        <v>0</v>
      </c>
      <c r="AW23" s="517">
        <f t="shared" si="17"/>
        <v>0</v>
      </c>
      <c r="AX23" s="517">
        <f t="shared" si="17"/>
        <v>0</v>
      </c>
      <c r="AY23" s="517">
        <f t="shared" si="17"/>
        <v>0</v>
      </c>
      <c r="AZ23" s="517">
        <f t="shared" si="17"/>
        <v>0</v>
      </c>
      <c r="BA23" s="517">
        <f t="shared" si="17"/>
        <v>0</v>
      </c>
      <c r="BB23" s="517">
        <f t="shared" si="17"/>
        <v>0</v>
      </c>
      <c r="BC23" s="517">
        <f t="shared" si="17"/>
        <v>0</v>
      </c>
      <c r="BD23" s="517">
        <f t="shared" si="17"/>
        <v>0</v>
      </c>
      <c r="BE23" s="538">
        <f>SUM(טבלה3338[[#This Row],[1]:[50]])</f>
        <v>0</v>
      </c>
      <c r="BF23" s="538">
        <f>CEILING(טבלה3338[[#This Row],[סה"כ]],25)</f>
        <v>0</v>
      </c>
      <c r="BG23" s="576" t="str">
        <f>טבלה3338[[#This Row],[פרודוקטים]]</f>
        <v>צלחת אוכל חם</v>
      </c>
      <c r="BH23" s="579"/>
      <c r="BJ23" s="531"/>
      <c r="BK23" s="531"/>
    </row>
    <row r="24" spans="1:64">
      <c r="A24" s="518" t="s">
        <v>1011</v>
      </c>
      <c r="B24" s="518" t="s">
        <v>577</v>
      </c>
      <c r="C24" s="518" t="s">
        <v>34</v>
      </c>
      <c r="D24" s="530" t="s">
        <v>700</v>
      </c>
      <c r="E24" s="530"/>
      <c r="F24" s="523">
        <f>2/30</f>
        <v>6.6666666666666666E-2</v>
      </c>
      <c r="G24" s="517">
        <f>ROUNDUP($F24*G$2,0)</f>
        <v>0</v>
      </c>
      <c r="H24" s="517">
        <f t="shared" si="17"/>
        <v>0</v>
      </c>
      <c r="I24" s="517">
        <f t="shared" si="17"/>
        <v>0</v>
      </c>
      <c r="J24" s="517">
        <f t="shared" si="17"/>
        <v>0</v>
      </c>
      <c r="K24" s="517">
        <f t="shared" si="17"/>
        <v>0</v>
      </c>
      <c r="L24" s="517">
        <f t="shared" si="17"/>
        <v>0</v>
      </c>
      <c r="M24" s="517">
        <f t="shared" si="18"/>
        <v>0</v>
      </c>
      <c r="N24" s="517">
        <f t="shared" si="18"/>
        <v>0</v>
      </c>
      <c r="O24" s="517">
        <f t="shared" si="18"/>
        <v>0</v>
      </c>
      <c r="P24" s="517">
        <f t="shared" si="18"/>
        <v>0</v>
      </c>
      <c r="Q24" s="517">
        <f t="shared" si="18"/>
        <v>0</v>
      </c>
      <c r="R24" s="517">
        <f t="shared" si="18"/>
        <v>0</v>
      </c>
      <c r="S24" s="517">
        <f t="shared" si="18"/>
        <v>0</v>
      </c>
      <c r="T24" s="517">
        <f t="shared" si="18"/>
        <v>0</v>
      </c>
      <c r="U24" s="517">
        <f t="shared" si="17"/>
        <v>0</v>
      </c>
      <c r="V24" s="517">
        <f t="shared" si="17"/>
        <v>0</v>
      </c>
      <c r="W24" s="517">
        <f t="shared" si="17"/>
        <v>0</v>
      </c>
      <c r="X24" s="517">
        <f t="shared" si="17"/>
        <v>0</v>
      </c>
      <c r="Y24" s="517">
        <f t="shared" si="17"/>
        <v>0</v>
      </c>
      <c r="Z24" s="517">
        <f t="shared" si="17"/>
        <v>0</v>
      </c>
      <c r="AA24" s="517">
        <f t="shared" si="17"/>
        <v>0</v>
      </c>
      <c r="AB24" s="517">
        <f t="shared" si="17"/>
        <v>0</v>
      </c>
      <c r="AC24" s="517">
        <f t="shared" si="17"/>
        <v>0</v>
      </c>
      <c r="AD24" s="517">
        <f t="shared" si="17"/>
        <v>0</v>
      </c>
      <c r="AE24" s="517">
        <f t="shared" si="17"/>
        <v>0</v>
      </c>
      <c r="AF24" s="517">
        <f t="shared" si="17"/>
        <v>0</v>
      </c>
      <c r="AG24" s="517">
        <f t="shared" si="17"/>
        <v>0</v>
      </c>
      <c r="AH24" s="517">
        <f t="shared" si="17"/>
        <v>0</v>
      </c>
      <c r="AI24" s="517">
        <f t="shared" si="17"/>
        <v>0</v>
      </c>
      <c r="AJ24" s="517">
        <f t="shared" si="17"/>
        <v>0</v>
      </c>
      <c r="AK24" s="517">
        <f t="shared" si="17"/>
        <v>0</v>
      </c>
      <c r="AL24" s="517">
        <f t="shared" si="17"/>
        <v>0</v>
      </c>
      <c r="AM24" s="517">
        <f t="shared" si="17"/>
        <v>0</v>
      </c>
      <c r="AN24" s="517">
        <f t="shared" si="17"/>
        <v>0</v>
      </c>
      <c r="AO24" s="517">
        <f t="shared" si="17"/>
        <v>0</v>
      </c>
      <c r="AP24" s="517">
        <f t="shared" si="17"/>
        <v>0</v>
      </c>
      <c r="AQ24" s="517">
        <f t="shared" si="17"/>
        <v>0</v>
      </c>
      <c r="AR24" s="517">
        <f t="shared" si="17"/>
        <v>0</v>
      </c>
      <c r="AS24" s="517">
        <f t="shared" si="17"/>
        <v>0</v>
      </c>
      <c r="AT24" s="517">
        <f t="shared" si="17"/>
        <v>0</v>
      </c>
      <c r="AU24" s="517">
        <f t="shared" si="17"/>
        <v>0</v>
      </c>
      <c r="AV24" s="517">
        <f t="shared" si="17"/>
        <v>0</v>
      </c>
      <c r="AW24" s="517">
        <f t="shared" si="17"/>
        <v>0</v>
      </c>
      <c r="AX24" s="517">
        <f t="shared" si="17"/>
        <v>0</v>
      </c>
      <c r="AY24" s="517">
        <f t="shared" si="17"/>
        <v>0</v>
      </c>
      <c r="AZ24" s="517">
        <f t="shared" si="17"/>
        <v>0</v>
      </c>
      <c r="BA24" s="517">
        <f t="shared" si="17"/>
        <v>0</v>
      </c>
      <c r="BB24" s="517">
        <f t="shared" si="17"/>
        <v>0</v>
      </c>
      <c r="BC24" s="517">
        <f t="shared" si="17"/>
        <v>0</v>
      </c>
      <c r="BD24" s="517">
        <f t="shared" si="17"/>
        <v>0</v>
      </c>
      <c r="BE24" s="538">
        <f>SUM(טבלה3338[[#This Row],[1]:[50]])</f>
        <v>0</v>
      </c>
      <c r="BF24" s="538">
        <f>CEILING(טבלה3338[[#This Row],[סה"כ]],25)</f>
        <v>0</v>
      </c>
      <c r="BG24" s="576" t="str">
        <f>טבלה3338[[#This Row],[פרודוקטים]]</f>
        <v>שקית זבל</v>
      </c>
      <c r="BH24" s="579"/>
      <c r="BJ24" s="531"/>
      <c r="BK24" s="531"/>
    </row>
    <row r="25" spans="1:64">
      <c r="A25" s="518" t="s">
        <v>1011</v>
      </c>
      <c r="B25" s="518" t="s">
        <v>578</v>
      </c>
      <c r="C25" s="518" t="s">
        <v>35</v>
      </c>
      <c r="D25" s="530" t="s">
        <v>691</v>
      </c>
      <c r="E25" s="530"/>
      <c r="F25" s="523">
        <v>8</v>
      </c>
      <c r="G25" s="517">
        <f>IF(G$2&gt;0,$F25,0)</f>
        <v>0</v>
      </c>
      <c r="H25" s="517">
        <f>IF(H$2&gt;0,טבלה3338[[#This Row],[1]],0)</f>
        <v>0</v>
      </c>
      <c r="I25" s="517">
        <f>IF(I$2&gt;0,טבלה3338[[#This Row],[2]],0)</f>
        <v>0</v>
      </c>
      <c r="J25" s="517">
        <f>IF(J$2&gt;0,טבלה3338[[#This Row],[3]],0)</f>
        <v>0</v>
      </c>
      <c r="K25" s="517">
        <f>IF(K$2&gt;0,טבלה3338[[#This Row],[4]],0)</f>
        <v>0</v>
      </c>
      <c r="L25" s="517">
        <f>IF(L$2&gt;0,טבלה3338[[#This Row],[5]],0)</f>
        <v>0</v>
      </c>
      <c r="M25" s="517">
        <f>IF(M$2&gt;0,טבלה3338[[#This Row],[6]],0)</f>
        <v>0</v>
      </c>
      <c r="N25" s="517">
        <f>IF(N$2&gt;0,טבלה3338[[#This Row],[7]],0)</f>
        <v>0</v>
      </c>
      <c r="O25" s="517">
        <f>IF(O$2&gt;0,טבלה3338[[#This Row],[8]],0)</f>
        <v>0</v>
      </c>
      <c r="P25" s="517">
        <f>IF(P$2&gt;0,טבלה3338[[#This Row],[9]],0)</f>
        <v>0</v>
      </c>
      <c r="Q25" s="517">
        <f>IF(Q$2&gt;0,טבלה3338[[#This Row],[10]],0)</f>
        <v>0</v>
      </c>
      <c r="R25" s="517">
        <f>IF(R$2&gt;0,טבלה3338[[#This Row],[11]],0)</f>
        <v>0</v>
      </c>
      <c r="S25" s="517">
        <f>IF(S$2&gt;0,טבלה3338[[#This Row],[12]],0)</f>
        <v>0</v>
      </c>
      <c r="T25" s="517">
        <f>IF(T$2&gt;0,טבלה3338[[#This Row],[13]],0)</f>
        <v>0</v>
      </c>
      <c r="U25" s="517">
        <f>IF(U$2&gt;0,טבלה3338[[#This Row],[14]],0)</f>
        <v>0</v>
      </c>
      <c r="V25" s="517">
        <f>IF(V$2&gt;0,טבלה3338[[#This Row],[15]],0)</f>
        <v>0</v>
      </c>
      <c r="W25" s="517">
        <f>IF(W$2&gt;0,טבלה3338[[#This Row],[16]],0)</f>
        <v>0</v>
      </c>
      <c r="X25" s="517">
        <f>IF(X$2&gt;0,טבלה3338[[#This Row],[17]],0)</f>
        <v>0</v>
      </c>
      <c r="Y25" s="517">
        <f>IF(Y$2&gt;0,טבלה3338[[#This Row],[18]],0)</f>
        <v>0</v>
      </c>
      <c r="Z25" s="517">
        <f>IF(Z$2&gt;0,טבלה3338[[#This Row],[19]],0)</f>
        <v>0</v>
      </c>
      <c r="AA25" s="517">
        <f>IF(AA$2&gt;0,טבלה3338[[#This Row],[20]],0)</f>
        <v>0</v>
      </c>
      <c r="AB25" s="517">
        <f>IF(AB$2&gt;0,טבלה3338[[#This Row],[21]],0)</f>
        <v>0</v>
      </c>
      <c r="AC25" s="517">
        <f>IF(AC$2&gt;0,טבלה3338[[#This Row],[22]],0)</f>
        <v>0</v>
      </c>
      <c r="AD25" s="517">
        <f>IF(AD$2&gt;0,טבלה3338[[#This Row],[23]],0)</f>
        <v>0</v>
      </c>
      <c r="AE25" s="517">
        <f>IF(AE$2&gt;0,טבלה3338[[#This Row],[24]],0)</f>
        <v>0</v>
      </c>
      <c r="AF25" s="517">
        <f>IF(AF$2&gt;0,טבלה3338[[#This Row],[25]],0)</f>
        <v>0</v>
      </c>
      <c r="AG25" s="517">
        <f>IF(AG$2&gt;0,טבלה3338[[#This Row],[26]],0)</f>
        <v>0</v>
      </c>
      <c r="AH25" s="517">
        <f>IF(AH$2&gt;0,טבלה3338[[#This Row],[27]],0)</f>
        <v>0</v>
      </c>
      <c r="AI25" s="517">
        <f>IF(AI$2&gt;0,טבלה3338[[#This Row],[28]],0)</f>
        <v>0</v>
      </c>
      <c r="AJ25" s="517">
        <f>IF(AJ$2&gt;0,טבלה3338[[#This Row],[29]],0)</f>
        <v>0</v>
      </c>
      <c r="AK25" s="517">
        <f>IF(AK$2&gt;0,טבלה3338[[#This Row],[30]],0)</f>
        <v>0</v>
      </c>
      <c r="AL25" s="517">
        <f>IF(AL$2&gt;0,טבלה3338[[#This Row],[31]],0)</f>
        <v>0</v>
      </c>
      <c r="AM25" s="517">
        <f>IF(AM$2&gt;0,טבלה3338[[#This Row],[32]],0)</f>
        <v>0</v>
      </c>
      <c r="AN25" s="517">
        <f>IF(AN$2&gt;0,טבלה3338[[#This Row],[33]],0)</f>
        <v>0</v>
      </c>
      <c r="AO25" s="517">
        <f>IF(AO$2&gt;0,טבלה3338[[#This Row],[34]],0)</f>
        <v>0</v>
      </c>
      <c r="AP25" s="517">
        <f>IF(AP$2&gt;0,טבלה3338[[#This Row],[35]],0)</f>
        <v>0</v>
      </c>
      <c r="AQ25" s="517">
        <f>IF(AQ$2&gt;0,טבלה3338[[#This Row],[36]],0)</f>
        <v>0</v>
      </c>
      <c r="AR25" s="517">
        <f>IF(AR$2&gt;0,טבלה3338[[#This Row],[37]],0)</f>
        <v>0</v>
      </c>
      <c r="AS25" s="517">
        <f>IF(AS$2&gt;0,טבלה3338[[#This Row],[38]],0)</f>
        <v>0</v>
      </c>
      <c r="AT25" s="517">
        <f>IF(AT$2&gt;0,טבלה3338[[#This Row],[39]],0)</f>
        <v>0</v>
      </c>
      <c r="AU25" s="517">
        <f>IF(AU$2&gt;0,טבלה3338[[#This Row],[40]],0)</f>
        <v>0</v>
      </c>
      <c r="AV25" s="517">
        <f>IF(AV$2&gt;0,טבלה3338[[#This Row],[41]],0)</f>
        <v>0</v>
      </c>
      <c r="AW25" s="517">
        <f>IF(AW$2&gt;0,טבלה3338[[#This Row],[42]],0)</f>
        <v>0</v>
      </c>
      <c r="AX25" s="517">
        <f>IF(AX$2&gt;0,טבלה3338[[#This Row],[43]],0)</f>
        <v>0</v>
      </c>
      <c r="AY25" s="517">
        <f>IF(AY$2&gt;0,טבלה3338[[#This Row],[44]],0)</f>
        <v>0</v>
      </c>
      <c r="AZ25" s="517">
        <f>IF(AZ$2&gt;0,טבלה3338[[#This Row],[45]],0)</f>
        <v>0</v>
      </c>
      <c r="BA25" s="517">
        <f>IF(BA$2&gt;0,טבלה3338[[#This Row],[46]],0)</f>
        <v>0</v>
      </c>
      <c r="BB25" s="517">
        <f>IF(BB$2&gt;0,טבלה3338[[#This Row],[47]],0)</f>
        <v>0</v>
      </c>
      <c r="BC25" s="517">
        <f>IF(BC$2&gt;0,טבלה3338[[#This Row],[48]],0)</f>
        <v>0</v>
      </c>
      <c r="BD25" s="517">
        <f>IF(BD$2&gt;0,טבלה3338[[#This Row],[49]],0)</f>
        <v>0</v>
      </c>
      <c r="BE25" s="538">
        <f>SUM(טבלה3338[[#This Row],[1]:[50]])</f>
        <v>0</v>
      </c>
      <c r="BF25" s="538">
        <f>CEILING(טבלה3338[[#This Row],[סה"כ]],25)</f>
        <v>0</v>
      </c>
      <c r="BG25" s="576" t="str">
        <f>טבלה3338[[#This Row],[פרודוקטים]]</f>
        <v>שקית גופיה</v>
      </c>
      <c r="BH25" s="579"/>
      <c r="BJ25" s="531"/>
      <c r="BK25" s="531"/>
    </row>
    <row r="26" spans="1:64">
      <c r="A26" s="518" t="s">
        <v>1011</v>
      </c>
      <c r="B26" s="518" t="s">
        <v>580</v>
      </c>
      <c r="C26" s="518" t="s">
        <v>37</v>
      </c>
      <c r="D26" s="609" t="s">
        <v>921</v>
      </c>
      <c r="E26" s="609"/>
      <c r="F26" s="522">
        <v>1</v>
      </c>
      <c r="G26" s="517">
        <f>IF(G$2&gt;0,$F26,0)</f>
        <v>0</v>
      </c>
      <c r="H26" s="517">
        <f>IF(H$2&gt;0,טבלה3338[[#This Row],[1]],0)</f>
        <v>0</v>
      </c>
      <c r="I26" s="517">
        <f>IF(I$2&gt;0,טבלה3338[[#This Row],[2]],0)</f>
        <v>0</v>
      </c>
      <c r="J26" s="517">
        <f>IF(J$2&gt;0,טבלה3338[[#This Row],[3]],0)</f>
        <v>0</v>
      </c>
      <c r="K26" s="517">
        <f>IF(K$2&gt;0,טבלה3338[[#This Row],[4]],0)</f>
        <v>0</v>
      </c>
      <c r="L26" s="517">
        <f>IF(L$2&gt;0,טבלה3338[[#This Row],[5]],0)</f>
        <v>0</v>
      </c>
      <c r="M26" s="517">
        <f>IF(M$2&gt;0,טבלה3338[[#This Row],[6]],0)</f>
        <v>0</v>
      </c>
      <c r="N26" s="517">
        <f>IF(N$2&gt;0,טבלה3338[[#This Row],[7]],0)</f>
        <v>0</v>
      </c>
      <c r="O26" s="517">
        <f>IF(O$2&gt;0,טבלה3338[[#This Row],[8]],0)</f>
        <v>0</v>
      </c>
      <c r="P26" s="517">
        <f>IF(P$2&gt;0,טבלה3338[[#This Row],[9]],0)</f>
        <v>0</v>
      </c>
      <c r="Q26" s="517">
        <f>IF(Q$2&gt;0,טבלה3338[[#This Row],[10]],0)</f>
        <v>0</v>
      </c>
      <c r="R26" s="517">
        <f>IF(R$2&gt;0,טבלה3338[[#This Row],[11]],0)</f>
        <v>0</v>
      </c>
      <c r="S26" s="517">
        <f>IF(S$2&gt;0,טבלה3338[[#This Row],[12]],0)</f>
        <v>0</v>
      </c>
      <c r="T26" s="517">
        <f>IF(T$2&gt;0,טבלה3338[[#This Row],[13]],0)</f>
        <v>0</v>
      </c>
      <c r="U26" s="517">
        <f>IF(U$2&gt;0,טבלה3338[[#This Row],[14]],0)</f>
        <v>0</v>
      </c>
      <c r="V26" s="517">
        <f>IF(V$2&gt;0,טבלה3338[[#This Row],[15]],0)</f>
        <v>0</v>
      </c>
      <c r="W26" s="517">
        <f>IF(W$2&gt;0,טבלה3338[[#This Row],[16]],0)</f>
        <v>0</v>
      </c>
      <c r="X26" s="517">
        <f>IF(X$2&gt;0,טבלה3338[[#This Row],[17]],0)</f>
        <v>0</v>
      </c>
      <c r="Y26" s="517">
        <f>IF(Y$2&gt;0,טבלה3338[[#This Row],[18]],0)</f>
        <v>0</v>
      </c>
      <c r="Z26" s="517">
        <f>IF(Z$2&gt;0,טבלה3338[[#This Row],[19]],0)</f>
        <v>0</v>
      </c>
      <c r="AA26" s="517">
        <f>IF(AA$2&gt;0,טבלה3338[[#This Row],[20]],0)</f>
        <v>0</v>
      </c>
      <c r="AB26" s="517">
        <f>IF(AB$2&gt;0,טבלה3338[[#This Row],[21]],0)</f>
        <v>0</v>
      </c>
      <c r="AC26" s="517">
        <f>IF(AC$2&gt;0,טבלה3338[[#This Row],[22]],0)</f>
        <v>0</v>
      </c>
      <c r="AD26" s="517">
        <f>IF(AD$2&gt;0,טבלה3338[[#This Row],[23]],0)</f>
        <v>0</v>
      </c>
      <c r="AE26" s="517">
        <f>IF(AE$2&gt;0,טבלה3338[[#This Row],[24]],0)</f>
        <v>0</v>
      </c>
      <c r="AF26" s="517">
        <f>IF(AF$2&gt;0,טבלה3338[[#This Row],[25]],0)</f>
        <v>0</v>
      </c>
      <c r="AG26" s="517">
        <f>IF(AG$2&gt;0,טבלה3338[[#This Row],[26]],0)</f>
        <v>0</v>
      </c>
      <c r="AH26" s="517">
        <f>IF(AH$2&gt;0,טבלה3338[[#This Row],[27]],0)</f>
        <v>0</v>
      </c>
      <c r="AI26" s="517">
        <f>IF(AI$2&gt;0,טבלה3338[[#This Row],[28]],0)</f>
        <v>0</v>
      </c>
      <c r="AJ26" s="517">
        <f>IF(AJ$2&gt;0,טבלה3338[[#This Row],[29]],0)</f>
        <v>0</v>
      </c>
      <c r="AK26" s="517">
        <f>IF(AK$2&gt;0,טבלה3338[[#This Row],[30]],0)</f>
        <v>0</v>
      </c>
      <c r="AL26" s="517">
        <f>IF(AL$2&gt;0,טבלה3338[[#This Row],[31]],0)</f>
        <v>0</v>
      </c>
      <c r="AM26" s="517">
        <f>IF(AM$2&gt;0,טבלה3338[[#This Row],[32]],0)</f>
        <v>0</v>
      </c>
      <c r="AN26" s="517">
        <f>IF(AN$2&gt;0,טבלה3338[[#This Row],[33]],0)</f>
        <v>0</v>
      </c>
      <c r="AO26" s="517">
        <f>IF(AO$2&gt;0,טבלה3338[[#This Row],[34]],0)</f>
        <v>0</v>
      </c>
      <c r="AP26" s="517">
        <f>IF(AP$2&gt;0,טבלה3338[[#This Row],[35]],0)</f>
        <v>0</v>
      </c>
      <c r="AQ26" s="517">
        <f>IF(AQ$2&gt;0,טבלה3338[[#This Row],[36]],0)</f>
        <v>0</v>
      </c>
      <c r="AR26" s="517">
        <f>IF(AR$2&gt;0,טבלה3338[[#This Row],[37]],0)</f>
        <v>0</v>
      </c>
      <c r="AS26" s="517">
        <f>IF(AS$2&gt;0,טבלה3338[[#This Row],[38]],0)</f>
        <v>0</v>
      </c>
      <c r="AT26" s="517">
        <f>IF(AT$2&gt;0,טבלה3338[[#This Row],[39]],0)</f>
        <v>0</v>
      </c>
      <c r="AU26" s="517">
        <f>IF(AU$2&gt;0,טבלה3338[[#This Row],[40]],0)</f>
        <v>0</v>
      </c>
      <c r="AV26" s="517">
        <f>IF(AV$2&gt;0,טבלה3338[[#This Row],[41]],0)</f>
        <v>0</v>
      </c>
      <c r="AW26" s="517">
        <f>IF(AW$2&gt;0,טבלה3338[[#This Row],[42]],0)</f>
        <v>0</v>
      </c>
      <c r="AX26" s="517">
        <f>IF(AX$2&gt;0,טבלה3338[[#This Row],[43]],0)</f>
        <v>0</v>
      </c>
      <c r="AY26" s="517">
        <f>IF(AY$2&gt;0,טבלה3338[[#This Row],[44]],0)</f>
        <v>0</v>
      </c>
      <c r="AZ26" s="517">
        <f>IF(AZ$2&gt;0,טבלה3338[[#This Row],[45]],0)</f>
        <v>0</v>
      </c>
      <c r="BA26" s="517">
        <f>IF(BA$2&gt;0,טבלה3338[[#This Row],[46]],0)</f>
        <v>0</v>
      </c>
      <c r="BB26" s="517">
        <f>IF(BB$2&gt;0,טבלה3338[[#This Row],[47]],0)</f>
        <v>0</v>
      </c>
      <c r="BC26" s="517">
        <f>IF(BC$2&gt;0,טבלה3338[[#This Row],[48]],0)</f>
        <v>0</v>
      </c>
      <c r="BD26" s="517">
        <f>IF(BD$2&gt;0,טבלה3338[[#This Row],[49]],0)</f>
        <v>0</v>
      </c>
      <c r="BE26" s="538">
        <f>SUM(טבלה3338[[#This Row],[1]:[50]])</f>
        <v>0</v>
      </c>
      <c r="BF26" s="538">
        <f>טבלה3338[[#This Row],[סה"כ]]</f>
        <v>0</v>
      </c>
      <c r="BG26" s="576" t="str">
        <f>טבלה3338[[#This Row],[פרודוקטים]]</f>
        <v>נייר סופג</v>
      </c>
      <c r="BH26" s="579"/>
      <c r="BJ26" s="531"/>
      <c r="BK26" s="531"/>
    </row>
    <row r="27" spans="1:64">
      <c r="D27" s="609"/>
      <c r="E27" s="609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39"/>
      <c r="BF27" s="539"/>
      <c r="BJ27" s="531"/>
      <c r="BK27" s="531"/>
    </row>
    <row r="28" spans="1:64" ht="15.75" customHeight="1">
      <c r="D28" s="609"/>
      <c r="E28" s="609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34"/>
      <c r="BF28" s="534"/>
    </row>
    <row r="29" spans="1:64">
      <c r="A29" s="518" t="s">
        <v>172</v>
      </c>
      <c r="B29" s="518" t="s">
        <v>487</v>
      </c>
      <c r="C29" s="526" t="s">
        <v>171</v>
      </c>
      <c r="D29" s="527" t="s">
        <v>10</v>
      </c>
      <c r="E29" s="527" t="s">
        <v>488</v>
      </c>
      <c r="F29" s="525" t="s">
        <v>490</v>
      </c>
      <c r="G29" s="528" t="s">
        <v>635</v>
      </c>
      <c r="H29" s="529" t="s">
        <v>636</v>
      </c>
      <c r="I29" s="528" t="s">
        <v>637</v>
      </c>
      <c r="J29" s="529" t="s">
        <v>638</v>
      </c>
      <c r="K29" s="528" t="s">
        <v>639</v>
      </c>
      <c r="L29" s="528" t="s">
        <v>640</v>
      </c>
      <c r="M29" s="529" t="s">
        <v>641</v>
      </c>
      <c r="N29" s="528" t="s">
        <v>642</v>
      </c>
      <c r="O29" s="529" t="s">
        <v>643</v>
      </c>
      <c r="P29" s="528" t="s">
        <v>644</v>
      </c>
      <c r="Q29" s="528" t="s">
        <v>645</v>
      </c>
      <c r="R29" s="529" t="s">
        <v>646</v>
      </c>
      <c r="S29" s="528" t="s">
        <v>647</v>
      </c>
      <c r="T29" s="529" t="s">
        <v>648</v>
      </c>
      <c r="U29" s="528" t="s">
        <v>649</v>
      </c>
      <c r="V29" s="528" t="s">
        <v>650</v>
      </c>
      <c r="W29" s="529" t="s">
        <v>651</v>
      </c>
      <c r="X29" s="528" t="s">
        <v>652</v>
      </c>
      <c r="Y29" s="529" t="s">
        <v>653</v>
      </c>
      <c r="Z29" s="528" t="s">
        <v>654</v>
      </c>
      <c r="AA29" s="528" t="s">
        <v>655</v>
      </c>
      <c r="AB29" s="529" t="s">
        <v>656</v>
      </c>
      <c r="AC29" s="528" t="s">
        <v>657</v>
      </c>
      <c r="AD29" s="529" t="s">
        <v>658</v>
      </c>
      <c r="AE29" s="528" t="s">
        <v>659</v>
      </c>
      <c r="AF29" s="528" t="s">
        <v>660</v>
      </c>
      <c r="AG29" s="529" t="s">
        <v>661</v>
      </c>
      <c r="AH29" s="528" t="s">
        <v>662</v>
      </c>
      <c r="AI29" s="529" t="s">
        <v>698</v>
      </c>
      <c r="AJ29" s="528" t="s">
        <v>663</v>
      </c>
      <c r="AK29" s="528" t="s">
        <v>664</v>
      </c>
      <c r="AL29" s="529" t="s">
        <v>665</v>
      </c>
      <c r="AM29" s="528" t="s">
        <v>666</v>
      </c>
      <c r="AN29" s="529" t="s">
        <v>699</v>
      </c>
      <c r="AO29" s="528" t="s">
        <v>749</v>
      </c>
      <c r="AP29" s="528" t="s">
        <v>750</v>
      </c>
      <c r="AQ29" s="529" t="s">
        <v>751</v>
      </c>
      <c r="AR29" s="528" t="s">
        <v>752</v>
      </c>
      <c r="AS29" s="529" t="s">
        <v>753</v>
      </c>
      <c r="AT29" s="528" t="s">
        <v>754</v>
      </c>
      <c r="AU29" s="528" t="s">
        <v>755</v>
      </c>
      <c r="AV29" s="529" t="s">
        <v>748</v>
      </c>
      <c r="AW29" s="528" t="s">
        <v>756</v>
      </c>
      <c r="AX29" s="529" t="s">
        <v>757</v>
      </c>
      <c r="AY29" s="528" t="s">
        <v>758</v>
      </c>
      <c r="AZ29" s="528" t="s">
        <v>759</v>
      </c>
      <c r="BA29" s="529" t="s">
        <v>760</v>
      </c>
      <c r="BB29" s="528" t="s">
        <v>761</v>
      </c>
      <c r="BC29" s="529" t="s">
        <v>762</v>
      </c>
      <c r="BD29" s="528" t="s">
        <v>763</v>
      </c>
      <c r="BE29" s="528" t="s">
        <v>22</v>
      </c>
      <c r="BF29" s="528" t="s">
        <v>667</v>
      </c>
      <c r="BG29" s="535" t="s">
        <v>16</v>
      </c>
      <c r="BH29" s="536" t="s">
        <v>923</v>
      </c>
      <c r="BI29" s="537"/>
      <c r="BJ29" s="535"/>
      <c r="BK29" s="535"/>
      <c r="BL29" s="535"/>
    </row>
    <row r="30" spans="1:64">
      <c r="A30" s="518" t="s">
        <v>1012</v>
      </c>
      <c r="B30" s="518">
        <v>11182</v>
      </c>
      <c r="C30" s="518" t="s">
        <v>128</v>
      </c>
      <c r="D30" s="609" t="s">
        <v>897</v>
      </c>
      <c r="E30" s="609"/>
      <c r="F30" s="523">
        <v>0.1</v>
      </c>
      <c r="G30" s="517">
        <f t="shared" ref="G30:AL30" si="19">ROUNDUP($F30*G$2,0)</f>
        <v>0</v>
      </c>
      <c r="H30" s="517">
        <f t="shared" si="19"/>
        <v>0</v>
      </c>
      <c r="I30" s="517">
        <f t="shared" si="19"/>
        <v>0</v>
      </c>
      <c r="J30" s="517">
        <f t="shared" si="19"/>
        <v>0</v>
      </c>
      <c r="K30" s="517">
        <f t="shared" si="19"/>
        <v>0</v>
      </c>
      <c r="L30" s="517">
        <f t="shared" si="19"/>
        <v>0</v>
      </c>
      <c r="M30" s="517">
        <f t="shared" si="19"/>
        <v>0</v>
      </c>
      <c r="N30" s="517">
        <f t="shared" si="19"/>
        <v>0</v>
      </c>
      <c r="O30" s="517">
        <f t="shared" si="19"/>
        <v>0</v>
      </c>
      <c r="P30" s="517">
        <f t="shared" si="19"/>
        <v>0</v>
      </c>
      <c r="Q30" s="517">
        <f t="shared" si="19"/>
        <v>0</v>
      </c>
      <c r="R30" s="517">
        <f t="shared" si="19"/>
        <v>0</v>
      </c>
      <c r="S30" s="517">
        <f t="shared" si="19"/>
        <v>0</v>
      </c>
      <c r="T30" s="517">
        <f t="shared" si="19"/>
        <v>0</v>
      </c>
      <c r="U30" s="517">
        <f t="shared" si="19"/>
        <v>0</v>
      </c>
      <c r="V30" s="517">
        <f t="shared" si="19"/>
        <v>0</v>
      </c>
      <c r="W30" s="517">
        <f t="shared" si="19"/>
        <v>0</v>
      </c>
      <c r="X30" s="517">
        <f t="shared" si="19"/>
        <v>0</v>
      </c>
      <c r="Y30" s="517">
        <f t="shared" si="19"/>
        <v>0</v>
      </c>
      <c r="Z30" s="517">
        <f t="shared" si="19"/>
        <v>0</v>
      </c>
      <c r="AA30" s="517">
        <f t="shared" si="19"/>
        <v>0</v>
      </c>
      <c r="AB30" s="517">
        <f t="shared" si="19"/>
        <v>0</v>
      </c>
      <c r="AC30" s="517">
        <f t="shared" si="19"/>
        <v>0</v>
      </c>
      <c r="AD30" s="517">
        <f t="shared" si="19"/>
        <v>0</v>
      </c>
      <c r="AE30" s="517">
        <f t="shared" si="19"/>
        <v>0</v>
      </c>
      <c r="AF30" s="517">
        <f t="shared" si="19"/>
        <v>0</v>
      </c>
      <c r="AG30" s="517">
        <f t="shared" si="19"/>
        <v>0</v>
      </c>
      <c r="AH30" s="517">
        <f t="shared" si="19"/>
        <v>0</v>
      </c>
      <c r="AI30" s="517">
        <f t="shared" si="19"/>
        <v>0</v>
      </c>
      <c r="AJ30" s="517">
        <f t="shared" si="19"/>
        <v>0</v>
      </c>
      <c r="AK30" s="517">
        <f t="shared" si="19"/>
        <v>0</v>
      </c>
      <c r="AL30" s="517">
        <f t="shared" si="19"/>
        <v>0</v>
      </c>
      <c r="AM30" s="517">
        <f t="shared" ref="AM30:BD30" si="20">ROUNDUP($F30*AM$2,0)</f>
        <v>0</v>
      </c>
      <c r="AN30" s="517">
        <f t="shared" si="20"/>
        <v>0</v>
      </c>
      <c r="AO30" s="517">
        <f t="shared" si="20"/>
        <v>0</v>
      </c>
      <c r="AP30" s="517">
        <f t="shared" si="20"/>
        <v>0</v>
      </c>
      <c r="AQ30" s="517">
        <f t="shared" si="20"/>
        <v>0</v>
      </c>
      <c r="AR30" s="517">
        <f t="shared" si="20"/>
        <v>0</v>
      </c>
      <c r="AS30" s="517">
        <f t="shared" si="20"/>
        <v>0</v>
      </c>
      <c r="AT30" s="517">
        <f t="shared" si="20"/>
        <v>0</v>
      </c>
      <c r="AU30" s="517">
        <f t="shared" si="20"/>
        <v>0</v>
      </c>
      <c r="AV30" s="517">
        <f t="shared" si="20"/>
        <v>0</v>
      </c>
      <c r="AW30" s="517">
        <f t="shared" si="20"/>
        <v>0</v>
      </c>
      <c r="AX30" s="517">
        <f t="shared" si="20"/>
        <v>0</v>
      </c>
      <c r="AY30" s="517">
        <f t="shared" si="20"/>
        <v>0</v>
      </c>
      <c r="AZ30" s="517">
        <f t="shared" si="20"/>
        <v>0</v>
      </c>
      <c r="BA30" s="517">
        <f t="shared" si="20"/>
        <v>0</v>
      </c>
      <c r="BB30" s="517">
        <f t="shared" si="20"/>
        <v>0</v>
      </c>
      <c r="BC30" s="517">
        <f t="shared" si="20"/>
        <v>0</v>
      </c>
      <c r="BD30" s="517">
        <f t="shared" si="20"/>
        <v>0</v>
      </c>
      <c r="BE30" s="534">
        <f>SUM(טבלה3540[[#This Row],[1]:[50]])</f>
        <v>0</v>
      </c>
      <c r="BF30" s="534">
        <f>ROUNDUP(טבלה3540[[#This Row],[סה"כ]]+טבלה3540[[#This Row],[סה"כ]]*BH30,0)</f>
        <v>0</v>
      </c>
      <c r="BG30" s="580" t="str">
        <f>טבלה3540[[#This Row],[פרודוקטים]]</f>
        <v>קוסקוס</v>
      </c>
      <c r="BH30" s="532">
        <v>0</v>
      </c>
      <c r="BJ30" s="531"/>
      <c r="BK30" s="531"/>
      <c r="BL30" s="531"/>
    </row>
    <row r="31" spans="1:64">
      <c r="A31" s="518" t="s">
        <v>1012</v>
      </c>
      <c r="B31" s="518">
        <v>5874</v>
      </c>
      <c r="C31" s="518" t="s">
        <v>17</v>
      </c>
      <c r="D31" s="609" t="s">
        <v>736</v>
      </c>
      <c r="E31" s="609"/>
      <c r="F31" s="523">
        <v>120</v>
      </c>
      <c r="G31" s="517">
        <f>ROUNDUP($F31*(G$2-G$3),0)</f>
        <v>0</v>
      </c>
      <c r="H31" s="517">
        <f t="shared" ref="H31:AL31" si="21">ROUNDUP($F31*(H$2-H$3/4),0)</f>
        <v>0</v>
      </c>
      <c r="I31" s="517">
        <f t="shared" si="21"/>
        <v>0</v>
      </c>
      <c r="J31" s="517">
        <f t="shared" si="21"/>
        <v>0</v>
      </c>
      <c r="K31" s="517">
        <f t="shared" si="21"/>
        <v>0</v>
      </c>
      <c r="L31" s="517">
        <f t="shared" si="21"/>
        <v>0</v>
      </c>
      <c r="M31" s="517">
        <f t="shared" si="21"/>
        <v>0</v>
      </c>
      <c r="N31" s="517">
        <f t="shared" si="21"/>
        <v>0</v>
      </c>
      <c r="O31" s="517">
        <f t="shared" si="21"/>
        <v>0</v>
      </c>
      <c r="P31" s="517">
        <f t="shared" si="21"/>
        <v>0</v>
      </c>
      <c r="Q31" s="517">
        <f t="shared" si="21"/>
        <v>0</v>
      </c>
      <c r="R31" s="517">
        <f t="shared" si="21"/>
        <v>0</v>
      </c>
      <c r="S31" s="517">
        <f t="shared" si="21"/>
        <v>0</v>
      </c>
      <c r="T31" s="517">
        <f t="shared" si="21"/>
        <v>0</v>
      </c>
      <c r="U31" s="517">
        <f t="shared" si="21"/>
        <v>0</v>
      </c>
      <c r="V31" s="517">
        <f t="shared" si="21"/>
        <v>0</v>
      </c>
      <c r="W31" s="517">
        <f t="shared" si="21"/>
        <v>0</v>
      </c>
      <c r="X31" s="517">
        <f t="shared" si="21"/>
        <v>0</v>
      </c>
      <c r="Y31" s="517">
        <f t="shared" si="21"/>
        <v>0</v>
      </c>
      <c r="Z31" s="517">
        <f t="shared" si="21"/>
        <v>0</v>
      </c>
      <c r="AA31" s="517">
        <f t="shared" si="21"/>
        <v>0</v>
      </c>
      <c r="AB31" s="517">
        <f t="shared" si="21"/>
        <v>0</v>
      </c>
      <c r="AC31" s="517">
        <f t="shared" si="21"/>
        <v>0</v>
      </c>
      <c r="AD31" s="517">
        <f t="shared" si="21"/>
        <v>0</v>
      </c>
      <c r="AE31" s="517">
        <f t="shared" si="21"/>
        <v>0</v>
      </c>
      <c r="AF31" s="517">
        <f t="shared" si="21"/>
        <v>0</v>
      </c>
      <c r="AG31" s="517">
        <f t="shared" si="21"/>
        <v>0</v>
      </c>
      <c r="AH31" s="517">
        <f t="shared" si="21"/>
        <v>0</v>
      </c>
      <c r="AI31" s="517">
        <f t="shared" si="21"/>
        <v>0</v>
      </c>
      <c r="AJ31" s="517">
        <f t="shared" si="21"/>
        <v>0</v>
      </c>
      <c r="AK31" s="517">
        <f t="shared" si="21"/>
        <v>0</v>
      </c>
      <c r="AL31" s="517">
        <f t="shared" si="21"/>
        <v>0</v>
      </c>
      <c r="AM31" s="517">
        <f t="shared" ref="AM31:BD31" si="22">ROUNDUP($F31*(AM$2-AM$3/4),0)</f>
        <v>0</v>
      </c>
      <c r="AN31" s="517">
        <f t="shared" si="22"/>
        <v>0</v>
      </c>
      <c r="AO31" s="517">
        <f t="shared" si="22"/>
        <v>0</v>
      </c>
      <c r="AP31" s="517">
        <f t="shared" si="22"/>
        <v>0</v>
      </c>
      <c r="AQ31" s="517">
        <f t="shared" si="22"/>
        <v>0</v>
      </c>
      <c r="AR31" s="517">
        <f t="shared" si="22"/>
        <v>0</v>
      </c>
      <c r="AS31" s="517">
        <f t="shared" si="22"/>
        <v>0</v>
      </c>
      <c r="AT31" s="517">
        <f t="shared" si="22"/>
        <v>0</v>
      </c>
      <c r="AU31" s="517">
        <f t="shared" si="22"/>
        <v>0</v>
      </c>
      <c r="AV31" s="517">
        <f t="shared" si="22"/>
        <v>0</v>
      </c>
      <c r="AW31" s="517">
        <f t="shared" si="22"/>
        <v>0</v>
      </c>
      <c r="AX31" s="517">
        <f t="shared" si="22"/>
        <v>0</v>
      </c>
      <c r="AY31" s="517">
        <f t="shared" si="22"/>
        <v>0</v>
      </c>
      <c r="AZ31" s="517">
        <f t="shared" si="22"/>
        <v>0</v>
      </c>
      <c r="BA31" s="517">
        <f t="shared" si="22"/>
        <v>0</v>
      </c>
      <c r="BB31" s="517">
        <f t="shared" si="22"/>
        <v>0</v>
      </c>
      <c r="BC31" s="517">
        <f t="shared" si="22"/>
        <v>0</v>
      </c>
      <c r="BD31" s="517">
        <f t="shared" si="22"/>
        <v>0</v>
      </c>
      <c r="BE31" s="534">
        <f>SUM(טבלה3540[[#This Row],[1]:[50]])</f>
        <v>0</v>
      </c>
      <c r="BF31" s="534">
        <f>CEILING(טבלה3540[[#This Row],[סה"כ]],700)/700</f>
        <v>0</v>
      </c>
      <c r="BG31" s="580" t="str">
        <f>טבלה3540[[#This Row],[פרודוקטים]]</f>
        <v>שניצל</v>
      </c>
      <c r="BJ31" s="531"/>
      <c r="BK31" s="531"/>
      <c r="BL31" s="531"/>
    </row>
    <row r="32" spans="1:64">
      <c r="A32" s="518" t="s">
        <v>1012</v>
      </c>
      <c r="B32" s="518">
        <v>3</v>
      </c>
      <c r="C32" s="518" t="s">
        <v>2</v>
      </c>
      <c r="D32" s="609" t="s">
        <v>681</v>
      </c>
      <c r="E32" s="609"/>
      <c r="F32" s="521">
        <f>1/4</f>
        <v>0.25</v>
      </c>
      <c r="G32" s="517">
        <f t="shared" ref="G32:P40" si="23">ROUNDUP($F32*G$2,0)</f>
        <v>0</v>
      </c>
      <c r="H32" s="517">
        <f t="shared" si="23"/>
        <v>0</v>
      </c>
      <c r="I32" s="517">
        <f t="shared" si="23"/>
        <v>0</v>
      </c>
      <c r="J32" s="517">
        <f t="shared" si="23"/>
        <v>0</v>
      </c>
      <c r="K32" s="517">
        <f t="shared" si="23"/>
        <v>0</v>
      </c>
      <c r="L32" s="517">
        <f t="shared" si="23"/>
        <v>0</v>
      </c>
      <c r="M32" s="517">
        <f t="shared" si="23"/>
        <v>0</v>
      </c>
      <c r="N32" s="517">
        <f t="shared" si="23"/>
        <v>0</v>
      </c>
      <c r="O32" s="517">
        <f t="shared" si="23"/>
        <v>0</v>
      </c>
      <c r="P32" s="517">
        <f t="shared" si="23"/>
        <v>0</v>
      </c>
      <c r="Q32" s="517">
        <f t="shared" ref="Q32:Z40" si="24">ROUNDUP($F32*Q$2,0)</f>
        <v>0</v>
      </c>
      <c r="R32" s="517">
        <f t="shared" si="24"/>
        <v>0</v>
      </c>
      <c r="S32" s="517">
        <f t="shared" si="24"/>
        <v>0</v>
      </c>
      <c r="T32" s="517">
        <f t="shared" si="24"/>
        <v>0</v>
      </c>
      <c r="U32" s="517">
        <f t="shared" si="24"/>
        <v>0</v>
      </c>
      <c r="V32" s="517">
        <f t="shared" si="24"/>
        <v>0</v>
      </c>
      <c r="W32" s="517">
        <f t="shared" si="24"/>
        <v>0</v>
      </c>
      <c r="X32" s="517">
        <f t="shared" si="24"/>
        <v>0</v>
      </c>
      <c r="Y32" s="517">
        <f t="shared" si="24"/>
        <v>0</v>
      </c>
      <c r="Z32" s="517">
        <f t="shared" si="24"/>
        <v>0</v>
      </c>
      <c r="AA32" s="517">
        <f t="shared" ref="AA32:AJ40" si="25">ROUNDUP($F32*AA$2,0)</f>
        <v>0</v>
      </c>
      <c r="AB32" s="517">
        <f t="shared" si="25"/>
        <v>0</v>
      </c>
      <c r="AC32" s="517">
        <f t="shared" si="25"/>
        <v>0</v>
      </c>
      <c r="AD32" s="517">
        <f t="shared" si="25"/>
        <v>0</v>
      </c>
      <c r="AE32" s="517">
        <f t="shared" si="25"/>
        <v>0</v>
      </c>
      <c r="AF32" s="517">
        <f t="shared" si="25"/>
        <v>0</v>
      </c>
      <c r="AG32" s="517">
        <f t="shared" si="25"/>
        <v>0</v>
      </c>
      <c r="AH32" s="517">
        <f t="shared" si="25"/>
        <v>0</v>
      </c>
      <c r="AI32" s="517">
        <f t="shared" si="25"/>
        <v>0</v>
      </c>
      <c r="AJ32" s="517">
        <f t="shared" si="25"/>
        <v>0</v>
      </c>
      <c r="AK32" s="517">
        <f t="shared" ref="AK32:AT40" si="26">ROUNDUP($F32*AK$2,0)</f>
        <v>0</v>
      </c>
      <c r="AL32" s="517">
        <f t="shared" si="26"/>
        <v>0</v>
      </c>
      <c r="AM32" s="517">
        <f t="shared" si="26"/>
        <v>0</v>
      </c>
      <c r="AN32" s="517">
        <f t="shared" si="26"/>
        <v>0</v>
      </c>
      <c r="AO32" s="517">
        <f t="shared" si="26"/>
        <v>0</v>
      </c>
      <c r="AP32" s="517">
        <f t="shared" si="26"/>
        <v>0</v>
      </c>
      <c r="AQ32" s="517">
        <f t="shared" si="26"/>
        <v>0</v>
      </c>
      <c r="AR32" s="517">
        <f t="shared" si="26"/>
        <v>0</v>
      </c>
      <c r="AS32" s="517">
        <f t="shared" si="26"/>
        <v>0</v>
      </c>
      <c r="AT32" s="517">
        <f t="shared" si="26"/>
        <v>0</v>
      </c>
      <c r="AU32" s="517">
        <f t="shared" ref="AU32:BD40" si="27">ROUNDUP($F32*AU$2,0)</f>
        <v>0</v>
      </c>
      <c r="AV32" s="517">
        <f t="shared" si="27"/>
        <v>0</v>
      </c>
      <c r="AW32" s="517">
        <f t="shared" si="27"/>
        <v>0</v>
      </c>
      <c r="AX32" s="517">
        <f t="shared" si="27"/>
        <v>0</v>
      </c>
      <c r="AY32" s="517">
        <f t="shared" si="27"/>
        <v>0</v>
      </c>
      <c r="AZ32" s="517">
        <f t="shared" si="27"/>
        <v>0</v>
      </c>
      <c r="BA32" s="517">
        <f t="shared" si="27"/>
        <v>0</v>
      </c>
      <c r="BB32" s="517">
        <f t="shared" si="27"/>
        <v>0</v>
      </c>
      <c r="BC32" s="517">
        <f t="shared" si="27"/>
        <v>0</v>
      </c>
      <c r="BD32" s="517">
        <f t="shared" si="27"/>
        <v>0</v>
      </c>
      <c r="BE32" s="534">
        <f>SUM(טבלה3540[[#This Row],[1]:[50]])</f>
        <v>0</v>
      </c>
      <c r="BF32" s="534">
        <f>ROUNDUP(טבלה3540[[#This Row],[סה"כ]]/7+טבלה3540[[#This Row],[סה"כ]]/7*טבלה3540[[#This Row],[תוספת]],0)</f>
        <v>0</v>
      </c>
      <c r="BG32" s="580" t="str">
        <f>טבלה3540[[#This Row],[פרודוקטים]]</f>
        <v>מלפפון</v>
      </c>
      <c r="BH32" s="532">
        <v>0</v>
      </c>
      <c r="BJ32" s="531"/>
      <c r="BK32" s="531"/>
      <c r="BL32" s="531"/>
    </row>
    <row r="33" spans="1:65">
      <c r="A33" s="518" t="s">
        <v>1012</v>
      </c>
      <c r="B33" s="518">
        <v>607</v>
      </c>
      <c r="C33" s="518" t="s">
        <v>3</v>
      </c>
      <c r="D33" s="609" t="s">
        <v>681</v>
      </c>
      <c r="E33" s="609"/>
      <c r="F33" s="521">
        <f>1/4</f>
        <v>0.25</v>
      </c>
      <c r="G33" s="517">
        <f t="shared" si="23"/>
        <v>0</v>
      </c>
      <c r="H33" s="517">
        <f t="shared" si="23"/>
        <v>0</v>
      </c>
      <c r="I33" s="517">
        <f t="shared" si="23"/>
        <v>0</v>
      </c>
      <c r="J33" s="517">
        <f t="shared" si="23"/>
        <v>0</v>
      </c>
      <c r="K33" s="517">
        <f t="shared" si="23"/>
        <v>0</v>
      </c>
      <c r="L33" s="517">
        <f t="shared" si="23"/>
        <v>0</v>
      </c>
      <c r="M33" s="517">
        <f t="shared" si="23"/>
        <v>0</v>
      </c>
      <c r="N33" s="517">
        <f t="shared" si="23"/>
        <v>0</v>
      </c>
      <c r="O33" s="517">
        <f t="shared" si="23"/>
        <v>0</v>
      </c>
      <c r="P33" s="517">
        <f t="shared" si="23"/>
        <v>0</v>
      </c>
      <c r="Q33" s="517">
        <f t="shared" si="24"/>
        <v>0</v>
      </c>
      <c r="R33" s="517">
        <f t="shared" si="24"/>
        <v>0</v>
      </c>
      <c r="S33" s="517">
        <f t="shared" si="24"/>
        <v>0</v>
      </c>
      <c r="T33" s="517">
        <f t="shared" si="24"/>
        <v>0</v>
      </c>
      <c r="U33" s="517">
        <f t="shared" si="24"/>
        <v>0</v>
      </c>
      <c r="V33" s="517">
        <f t="shared" si="24"/>
        <v>0</v>
      </c>
      <c r="W33" s="517">
        <f t="shared" si="24"/>
        <v>0</v>
      </c>
      <c r="X33" s="517">
        <f t="shared" si="24"/>
        <v>0</v>
      </c>
      <c r="Y33" s="517">
        <f t="shared" si="24"/>
        <v>0</v>
      </c>
      <c r="Z33" s="517">
        <f t="shared" si="24"/>
        <v>0</v>
      </c>
      <c r="AA33" s="517">
        <f t="shared" si="25"/>
        <v>0</v>
      </c>
      <c r="AB33" s="517">
        <f t="shared" si="25"/>
        <v>0</v>
      </c>
      <c r="AC33" s="517">
        <f t="shared" si="25"/>
        <v>0</v>
      </c>
      <c r="AD33" s="517">
        <f t="shared" si="25"/>
        <v>0</v>
      </c>
      <c r="AE33" s="517">
        <f t="shared" si="25"/>
        <v>0</v>
      </c>
      <c r="AF33" s="517">
        <f t="shared" si="25"/>
        <v>0</v>
      </c>
      <c r="AG33" s="517">
        <f t="shared" si="25"/>
        <v>0</v>
      </c>
      <c r="AH33" s="517">
        <f t="shared" si="25"/>
        <v>0</v>
      </c>
      <c r="AI33" s="517">
        <f t="shared" si="25"/>
        <v>0</v>
      </c>
      <c r="AJ33" s="517">
        <f t="shared" si="25"/>
        <v>0</v>
      </c>
      <c r="AK33" s="517">
        <f t="shared" si="26"/>
        <v>0</v>
      </c>
      <c r="AL33" s="517">
        <f t="shared" si="26"/>
        <v>0</v>
      </c>
      <c r="AM33" s="517">
        <f t="shared" si="26"/>
        <v>0</v>
      </c>
      <c r="AN33" s="517">
        <f t="shared" si="26"/>
        <v>0</v>
      </c>
      <c r="AO33" s="517">
        <f t="shared" si="26"/>
        <v>0</v>
      </c>
      <c r="AP33" s="517">
        <f t="shared" si="26"/>
        <v>0</v>
      </c>
      <c r="AQ33" s="517">
        <f t="shared" si="26"/>
        <v>0</v>
      </c>
      <c r="AR33" s="517">
        <f t="shared" si="26"/>
        <v>0</v>
      </c>
      <c r="AS33" s="517">
        <f t="shared" si="26"/>
        <v>0</v>
      </c>
      <c r="AT33" s="517">
        <f t="shared" si="26"/>
        <v>0</v>
      </c>
      <c r="AU33" s="517">
        <f t="shared" si="27"/>
        <v>0</v>
      </c>
      <c r="AV33" s="517">
        <f t="shared" si="27"/>
        <v>0</v>
      </c>
      <c r="AW33" s="517">
        <f t="shared" si="27"/>
        <v>0</v>
      </c>
      <c r="AX33" s="517">
        <f t="shared" si="27"/>
        <v>0</v>
      </c>
      <c r="AY33" s="517">
        <f t="shared" si="27"/>
        <v>0</v>
      </c>
      <c r="AZ33" s="517">
        <f t="shared" si="27"/>
        <v>0</v>
      </c>
      <c r="BA33" s="517">
        <f t="shared" si="27"/>
        <v>0</v>
      </c>
      <c r="BB33" s="517">
        <f t="shared" si="27"/>
        <v>0</v>
      </c>
      <c r="BC33" s="517">
        <f t="shared" si="27"/>
        <v>0</v>
      </c>
      <c r="BD33" s="517">
        <f t="shared" si="27"/>
        <v>0</v>
      </c>
      <c r="BE33" s="534">
        <f>SUM(טבלה3540[[#This Row],[1]:[50]])</f>
        <v>0</v>
      </c>
      <c r="BF33" s="534">
        <f>ROUNDUP(טבלה3540[[#This Row],[סה"כ]]/5+טבלה3540[[#This Row],[סה"כ]]/5*טבלה3540[[#This Row],[תוספת]],0)</f>
        <v>0</v>
      </c>
      <c r="BG33" s="581" t="str">
        <f>טבלה3540[[#This Row],[פרודוקטים]]</f>
        <v>עגבניה</v>
      </c>
      <c r="BH33" s="532">
        <v>0</v>
      </c>
      <c r="BJ33" s="531"/>
      <c r="BK33" s="531"/>
      <c r="BL33" s="531"/>
    </row>
    <row r="34" spans="1:65">
      <c r="A34" s="518" t="s">
        <v>1012</v>
      </c>
      <c r="B34" s="518">
        <v>157</v>
      </c>
      <c r="C34" s="518" t="s">
        <v>21</v>
      </c>
      <c r="D34" s="609" t="s">
        <v>890</v>
      </c>
      <c r="E34" s="609"/>
      <c r="F34" s="523">
        <f>1/10</f>
        <v>0.1</v>
      </c>
      <c r="G34" s="517">
        <f t="shared" si="23"/>
        <v>0</v>
      </c>
      <c r="H34" s="517">
        <f t="shared" si="23"/>
        <v>0</v>
      </c>
      <c r="I34" s="517">
        <f t="shared" si="23"/>
        <v>0</v>
      </c>
      <c r="J34" s="517">
        <f t="shared" si="23"/>
        <v>0</v>
      </c>
      <c r="K34" s="517">
        <f t="shared" si="23"/>
        <v>0</v>
      </c>
      <c r="L34" s="517">
        <f t="shared" si="23"/>
        <v>0</v>
      </c>
      <c r="M34" s="517">
        <f t="shared" si="23"/>
        <v>0</v>
      </c>
      <c r="N34" s="517">
        <f t="shared" si="23"/>
        <v>0</v>
      </c>
      <c r="O34" s="517">
        <f t="shared" si="23"/>
        <v>0</v>
      </c>
      <c r="P34" s="517">
        <f t="shared" si="23"/>
        <v>0</v>
      </c>
      <c r="Q34" s="517">
        <f t="shared" si="24"/>
        <v>0</v>
      </c>
      <c r="R34" s="517">
        <f t="shared" si="24"/>
        <v>0</v>
      </c>
      <c r="S34" s="517">
        <f t="shared" si="24"/>
        <v>0</v>
      </c>
      <c r="T34" s="517">
        <f t="shared" si="24"/>
        <v>0</v>
      </c>
      <c r="U34" s="517">
        <f t="shared" si="24"/>
        <v>0</v>
      </c>
      <c r="V34" s="517">
        <f t="shared" si="24"/>
        <v>0</v>
      </c>
      <c r="W34" s="517">
        <f t="shared" si="24"/>
        <v>0</v>
      </c>
      <c r="X34" s="517">
        <f t="shared" si="24"/>
        <v>0</v>
      </c>
      <c r="Y34" s="517">
        <f t="shared" si="24"/>
        <v>0</v>
      </c>
      <c r="Z34" s="517">
        <f t="shared" si="24"/>
        <v>0</v>
      </c>
      <c r="AA34" s="517">
        <f t="shared" si="25"/>
        <v>0</v>
      </c>
      <c r="AB34" s="517">
        <f t="shared" si="25"/>
        <v>0</v>
      </c>
      <c r="AC34" s="517">
        <f t="shared" si="25"/>
        <v>0</v>
      </c>
      <c r="AD34" s="517">
        <f t="shared" si="25"/>
        <v>0</v>
      </c>
      <c r="AE34" s="517">
        <f t="shared" si="25"/>
        <v>0</v>
      </c>
      <c r="AF34" s="517">
        <f t="shared" si="25"/>
        <v>0</v>
      </c>
      <c r="AG34" s="517">
        <f t="shared" si="25"/>
        <v>0</v>
      </c>
      <c r="AH34" s="517">
        <f t="shared" si="25"/>
        <v>0</v>
      </c>
      <c r="AI34" s="517">
        <f t="shared" si="25"/>
        <v>0</v>
      </c>
      <c r="AJ34" s="517">
        <f t="shared" si="25"/>
        <v>0</v>
      </c>
      <c r="AK34" s="517">
        <f t="shared" si="26"/>
        <v>0</v>
      </c>
      <c r="AL34" s="517">
        <f t="shared" si="26"/>
        <v>0</v>
      </c>
      <c r="AM34" s="517">
        <f t="shared" si="26"/>
        <v>0</v>
      </c>
      <c r="AN34" s="517">
        <f t="shared" si="26"/>
        <v>0</v>
      </c>
      <c r="AO34" s="517">
        <f t="shared" si="26"/>
        <v>0</v>
      </c>
      <c r="AP34" s="517">
        <f t="shared" si="26"/>
        <v>0</v>
      </c>
      <c r="AQ34" s="517">
        <f t="shared" si="26"/>
        <v>0</v>
      </c>
      <c r="AR34" s="517">
        <f t="shared" si="26"/>
        <v>0</v>
      </c>
      <c r="AS34" s="517">
        <f t="shared" si="26"/>
        <v>0</v>
      </c>
      <c r="AT34" s="517">
        <f t="shared" si="26"/>
        <v>0</v>
      </c>
      <c r="AU34" s="517">
        <f t="shared" si="27"/>
        <v>0</v>
      </c>
      <c r="AV34" s="517">
        <f t="shared" si="27"/>
        <v>0</v>
      </c>
      <c r="AW34" s="517">
        <f t="shared" si="27"/>
        <v>0</v>
      </c>
      <c r="AX34" s="517">
        <f t="shared" si="27"/>
        <v>0</v>
      </c>
      <c r="AY34" s="517">
        <f t="shared" si="27"/>
        <v>0</v>
      </c>
      <c r="AZ34" s="517">
        <f t="shared" si="27"/>
        <v>0</v>
      </c>
      <c r="BA34" s="517">
        <f t="shared" si="27"/>
        <v>0</v>
      </c>
      <c r="BB34" s="517">
        <f t="shared" si="27"/>
        <v>0</v>
      </c>
      <c r="BC34" s="517">
        <f t="shared" si="27"/>
        <v>0</v>
      </c>
      <c r="BD34" s="517">
        <f t="shared" si="27"/>
        <v>0</v>
      </c>
      <c r="BE34" s="534">
        <f>SUM(טבלה3540[[#This Row],[1]:[50]])</f>
        <v>0</v>
      </c>
      <c r="BF34" s="534">
        <f>ROUNDUP(טבלה3540[[#This Row],[סה"כ]]/5+טבלה3540[[#This Row],[סה"כ]]/5*טבלה3540[[#This Row],[תוספת]],0)</f>
        <v>0</v>
      </c>
      <c r="BG34" s="581" t="str">
        <f>טבלה3540[[#This Row],[פרודוקטים]]</f>
        <v>בצל</v>
      </c>
      <c r="BH34" s="532"/>
      <c r="BJ34" s="531"/>
      <c r="BK34" s="531"/>
      <c r="BL34" s="531"/>
    </row>
    <row r="35" spans="1:65">
      <c r="A35" s="518" t="s">
        <v>1012</v>
      </c>
      <c r="B35" s="518">
        <v>6975</v>
      </c>
      <c r="C35" s="518" t="s">
        <v>41</v>
      </c>
      <c r="D35" s="530" t="s">
        <v>718</v>
      </c>
      <c r="E35" s="530"/>
      <c r="F35" s="523">
        <v>3.3333333333333333E-2</v>
      </c>
      <c r="G35" s="517">
        <f t="shared" si="23"/>
        <v>0</v>
      </c>
      <c r="H35" s="517">
        <f t="shared" si="23"/>
        <v>0</v>
      </c>
      <c r="I35" s="517">
        <f t="shared" si="23"/>
        <v>0</v>
      </c>
      <c r="J35" s="517">
        <f t="shared" si="23"/>
        <v>0</v>
      </c>
      <c r="K35" s="517">
        <f t="shared" si="23"/>
        <v>0</v>
      </c>
      <c r="L35" s="517">
        <f t="shared" si="23"/>
        <v>0</v>
      </c>
      <c r="M35" s="517">
        <f t="shared" si="23"/>
        <v>0</v>
      </c>
      <c r="N35" s="517">
        <f t="shared" si="23"/>
        <v>0</v>
      </c>
      <c r="O35" s="517">
        <f t="shared" si="23"/>
        <v>0</v>
      </c>
      <c r="P35" s="517">
        <f t="shared" si="23"/>
        <v>0</v>
      </c>
      <c r="Q35" s="517">
        <f t="shared" si="24"/>
        <v>0</v>
      </c>
      <c r="R35" s="517">
        <f t="shared" si="24"/>
        <v>0</v>
      </c>
      <c r="S35" s="517">
        <f t="shared" si="24"/>
        <v>0</v>
      </c>
      <c r="T35" s="517">
        <f t="shared" si="24"/>
        <v>0</v>
      </c>
      <c r="U35" s="517">
        <f t="shared" si="24"/>
        <v>0</v>
      </c>
      <c r="V35" s="517">
        <f t="shared" si="24"/>
        <v>0</v>
      </c>
      <c r="W35" s="517">
        <f t="shared" si="24"/>
        <v>0</v>
      </c>
      <c r="X35" s="517">
        <f t="shared" si="24"/>
        <v>0</v>
      </c>
      <c r="Y35" s="517">
        <f t="shared" si="24"/>
        <v>0</v>
      </c>
      <c r="Z35" s="517">
        <f t="shared" si="24"/>
        <v>0</v>
      </c>
      <c r="AA35" s="517">
        <f t="shared" si="25"/>
        <v>0</v>
      </c>
      <c r="AB35" s="517">
        <f t="shared" si="25"/>
        <v>0</v>
      </c>
      <c r="AC35" s="517">
        <f t="shared" si="25"/>
        <v>0</v>
      </c>
      <c r="AD35" s="517">
        <f t="shared" si="25"/>
        <v>0</v>
      </c>
      <c r="AE35" s="517">
        <f t="shared" si="25"/>
        <v>0</v>
      </c>
      <c r="AF35" s="517">
        <f t="shared" si="25"/>
        <v>0</v>
      </c>
      <c r="AG35" s="517">
        <f t="shared" si="25"/>
        <v>0</v>
      </c>
      <c r="AH35" s="517">
        <f t="shared" si="25"/>
        <v>0</v>
      </c>
      <c r="AI35" s="517">
        <f t="shared" si="25"/>
        <v>0</v>
      </c>
      <c r="AJ35" s="517">
        <f t="shared" si="25"/>
        <v>0</v>
      </c>
      <c r="AK35" s="517">
        <f t="shared" si="26"/>
        <v>0</v>
      </c>
      <c r="AL35" s="517">
        <f t="shared" si="26"/>
        <v>0</v>
      </c>
      <c r="AM35" s="517">
        <f t="shared" si="26"/>
        <v>0</v>
      </c>
      <c r="AN35" s="517">
        <f t="shared" si="26"/>
        <v>0</v>
      </c>
      <c r="AO35" s="517">
        <f t="shared" si="26"/>
        <v>0</v>
      </c>
      <c r="AP35" s="517">
        <f t="shared" si="26"/>
        <v>0</v>
      </c>
      <c r="AQ35" s="517">
        <f t="shared" si="26"/>
        <v>0</v>
      </c>
      <c r="AR35" s="517">
        <f t="shared" si="26"/>
        <v>0</v>
      </c>
      <c r="AS35" s="517">
        <f t="shared" si="26"/>
        <v>0</v>
      </c>
      <c r="AT35" s="517">
        <f t="shared" si="26"/>
        <v>0</v>
      </c>
      <c r="AU35" s="517">
        <f t="shared" si="27"/>
        <v>0</v>
      </c>
      <c r="AV35" s="517">
        <f t="shared" si="27"/>
        <v>0</v>
      </c>
      <c r="AW35" s="517">
        <f t="shared" si="27"/>
        <v>0</v>
      </c>
      <c r="AX35" s="517">
        <f t="shared" si="27"/>
        <v>0</v>
      </c>
      <c r="AY35" s="517">
        <f t="shared" si="27"/>
        <v>0</v>
      </c>
      <c r="AZ35" s="517">
        <f t="shared" si="27"/>
        <v>0</v>
      </c>
      <c r="BA35" s="517">
        <f t="shared" si="27"/>
        <v>0</v>
      </c>
      <c r="BB35" s="517">
        <f t="shared" si="27"/>
        <v>0</v>
      </c>
      <c r="BC35" s="517">
        <f t="shared" si="27"/>
        <v>0</v>
      </c>
      <c r="BD35" s="517">
        <f t="shared" si="27"/>
        <v>0</v>
      </c>
      <c r="BE35" s="534">
        <f>SUM(טבלה3540[[#This Row],[1]:[50]])</f>
        <v>0</v>
      </c>
      <c r="BF35" s="538">
        <f>טבלה3540[[#This Row],[סה"כ]]</f>
        <v>0</v>
      </c>
      <c r="BG35" s="581" t="str">
        <f>טבלה3540[[#This Row],[פרודוקטים]]</f>
        <v>טחינה</v>
      </c>
      <c r="BJ35" s="531"/>
      <c r="BK35" s="531"/>
      <c r="BL35" s="531"/>
    </row>
    <row r="36" spans="1:65">
      <c r="A36" s="518" t="s">
        <v>1012</v>
      </c>
      <c r="B36" s="518">
        <v>397</v>
      </c>
      <c r="C36" s="518" t="s">
        <v>719</v>
      </c>
      <c r="D36" s="530" t="s">
        <v>702</v>
      </c>
      <c r="E36" s="530"/>
      <c r="F36" s="523">
        <f>1/10</f>
        <v>0.1</v>
      </c>
      <c r="G36" s="517">
        <f t="shared" si="23"/>
        <v>0</v>
      </c>
      <c r="H36" s="517">
        <f t="shared" si="23"/>
        <v>0</v>
      </c>
      <c r="I36" s="517">
        <f t="shared" si="23"/>
        <v>0</v>
      </c>
      <c r="J36" s="517">
        <f t="shared" si="23"/>
        <v>0</v>
      </c>
      <c r="K36" s="517">
        <f t="shared" si="23"/>
        <v>0</v>
      </c>
      <c r="L36" s="517">
        <f t="shared" si="23"/>
        <v>0</v>
      </c>
      <c r="M36" s="517">
        <f t="shared" si="23"/>
        <v>0</v>
      </c>
      <c r="N36" s="517">
        <f t="shared" si="23"/>
        <v>0</v>
      </c>
      <c r="O36" s="517">
        <f t="shared" si="23"/>
        <v>0</v>
      </c>
      <c r="P36" s="517">
        <f t="shared" si="23"/>
        <v>0</v>
      </c>
      <c r="Q36" s="517">
        <f t="shared" si="24"/>
        <v>0</v>
      </c>
      <c r="R36" s="517">
        <f t="shared" si="24"/>
        <v>0</v>
      </c>
      <c r="S36" s="517">
        <f t="shared" si="24"/>
        <v>0</v>
      </c>
      <c r="T36" s="517">
        <f t="shared" si="24"/>
        <v>0</v>
      </c>
      <c r="U36" s="517">
        <f t="shared" si="24"/>
        <v>0</v>
      </c>
      <c r="V36" s="517">
        <f t="shared" si="24"/>
        <v>0</v>
      </c>
      <c r="W36" s="517">
        <f t="shared" si="24"/>
        <v>0</v>
      </c>
      <c r="X36" s="517">
        <f t="shared" si="24"/>
        <v>0</v>
      </c>
      <c r="Y36" s="517">
        <f t="shared" si="24"/>
        <v>0</v>
      </c>
      <c r="Z36" s="517">
        <f t="shared" si="24"/>
        <v>0</v>
      </c>
      <c r="AA36" s="517">
        <f t="shared" si="25"/>
        <v>0</v>
      </c>
      <c r="AB36" s="517">
        <f t="shared" si="25"/>
        <v>0</v>
      </c>
      <c r="AC36" s="517">
        <f t="shared" si="25"/>
        <v>0</v>
      </c>
      <c r="AD36" s="517">
        <f t="shared" si="25"/>
        <v>0</v>
      </c>
      <c r="AE36" s="517">
        <f t="shared" si="25"/>
        <v>0</v>
      </c>
      <c r="AF36" s="517">
        <f t="shared" si="25"/>
        <v>0</v>
      </c>
      <c r="AG36" s="517">
        <f t="shared" si="25"/>
        <v>0</v>
      </c>
      <c r="AH36" s="517">
        <f t="shared" si="25"/>
        <v>0</v>
      </c>
      <c r="AI36" s="517">
        <f t="shared" si="25"/>
        <v>0</v>
      </c>
      <c r="AJ36" s="517">
        <f t="shared" si="25"/>
        <v>0</v>
      </c>
      <c r="AK36" s="517">
        <f t="shared" si="26"/>
        <v>0</v>
      </c>
      <c r="AL36" s="517">
        <f t="shared" si="26"/>
        <v>0</v>
      </c>
      <c r="AM36" s="517">
        <f t="shared" si="26"/>
        <v>0</v>
      </c>
      <c r="AN36" s="517">
        <f t="shared" si="26"/>
        <v>0</v>
      </c>
      <c r="AO36" s="517">
        <f t="shared" si="26"/>
        <v>0</v>
      </c>
      <c r="AP36" s="517">
        <f t="shared" si="26"/>
        <v>0</v>
      </c>
      <c r="AQ36" s="517">
        <f t="shared" si="26"/>
        <v>0</v>
      </c>
      <c r="AR36" s="517">
        <f t="shared" si="26"/>
        <v>0</v>
      </c>
      <c r="AS36" s="517">
        <f t="shared" si="26"/>
        <v>0</v>
      </c>
      <c r="AT36" s="517">
        <f t="shared" si="26"/>
        <v>0</v>
      </c>
      <c r="AU36" s="517">
        <f t="shared" si="27"/>
        <v>0</v>
      </c>
      <c r="AV36" s="517">
        <f t="shared" si="27"/>
        <v>0</v>
      </c>
      <c r="AW36" s="517">
        <f t="shared" si="27"/>
        <v>0</v>
      </c>
      <c r="AX36" s="517">
        <f t="shared" si="27"/>
        <v>0</v>
      </c>
      <c r="AY36" s="517">
        <f t="shared" si="27"/>
        <v>0</v>
      </c>
      <c r="AZ36" s="517">
        <f t="shared" si="27"/>
        <v>0</v>
      </c>
      <c r="BA36" s="517">
        <f t="shared" si="27"/>
        <v>0</v>
      </c>
      <c r="BB36" s="517">
        <f t="shared" si="27"/>
        <v>0</v>
      </c>
      <c r="BC36" s="517">
        <f t="shared" si="27"/>
        <v>0</v>
      </c>
      <c r="BD36" s="517">
        <f t="shared" si="27"/>
        <v>0</v>
      </c>
      <c r="BE36" s="534">
        <f>SUM(טבלה3540[[#This Row],[1]:[50]])</f>
        <v>0</v>
      </c>
      <c r="BF36" s="534">
        <f>ROUNDUP(טבלה3540[[#This Row],[סה"כ]]/7,0)</f>
        <v>0</v>
      </c>
      <c r="BG36" s="581" t="str">
        <f>טבלה3540[[#This Row],[פרודוקטים]]</f>
        <v>לימון טרי</v>
      </c>
      <c r="BJ36" s="531"/>
      <c r="BK36" s="531"/>
      <c r="BL36" s="531"/>
      <c r="BM36" s="531"/>
    </row>
    <row r="37" spans="1:65">
      <c r="A37" s="518" t="s">
        <v>1012</v>
      </c>
      <c r="B37" s="640">
        <v>957</v>
      </c>
      <c r="C37" s="640" t="s">
        <v>395</v>
      </c>
      <c r="D37" s="641" t="s">
        <v>1014</v>
      </c>
      <c r="E37" s="641"/>
      <c r="F37" s="523">
        <v>0.02</v>
      </c>
      <c r="G37" s="643">
        <f t="shared" si="23"/>
        <v>0</v>
      </c>
      <c r="H37" s="643">
        <f t="shared" si="23"/>
        <v>0</v>
      </c>
      <c r="I37" s="643">
        <f t="shared" si="23"/>
        <v>0</v>
      </c>
      <c r="J37" s="643">
        <f t="shared" si="23"/>
        <v>0</v>
      </c>
      <c r="K37" s="643">
        <f t="shared" si="23"/>
        <v>0</v>
      </c>
      <c r="L37" s="643">
        <f t="shared" si="23"/>
        <v>0</v>
      </c>
      <c r="M37" s="643">
        <f t="shared" si="23"/>
        <v>0</v>
      </c>
      <c r="N37" s="643">
        <f t="shared" si="23"/>
        <v>0</v>
      </c>
      <c r="O37" s="643">
        <f t="shared" si="23"/>
        <v>0</v>
      </c>
      <c r="P37" s="643">
        <f t="shared" si="23"/>
        <v>0</v>
      </c>
      <c r="Q37" s="643">
        <f t="shared" si="24"/>
        <v>0</v>
      </c>
      <c r="R37" s="643">
        <f t="shared" si="24"/>
        <v>0</v>
      </c>
      <c r="S37" s="643">
        <f t="shared" si="24"/>
        <v>0</v>
      </c>
      <c r="T37" s="643">
        <f t="shared" si="24"/>
        <v>0</v>
      </c>
      <c r="U37" s="643">
        <f t="shared" si="24"/>
        <v>0</v>
      </c>
      <c r="V37" s="643">
        <f t="shared" si="24"/>
        <v>0</v>
      </c>
      <c r="W37" s="643">
        <f t="shared" si="24"/>
        <v>0</v>
      </c>
      <c r="X37" s="643">
        <f t="shared" si="24"/>
        <v>0</v>
      </c>
      <c r="Y37" s="643">
        <f t="shared" si="24"/>
        <v>0</v>
      </c>
      <c r="Z37" s="643">
        <f t="shared" si="24"/>
        <v>0</v>
      </c>
      <c r="AA37" s="643">
        <f t="shared" si="25"/>
        <v>0</v>
      </c>
      <c r="AB37" s="643">
        <f t="shared" si="25"/>
        <v>0</v>
      </c>
      <c r="AC37" s="643">
        <f t="shared" si="25"/>
        <v>0</v>
      </c>
      <c r="AD37" s="643">
        <f t="shared" si="25"/>
        <v>0</v>
      </c>
      <c r="AE37" s="643">
        <f t="shared" si="25"/>
        <v>0</v>
      </c>
      <c r="AF37" s="643">
        <f t="shared" si="25"/>
        <v>0</v>
      </c>
      <c r="AG37" s="643">
        <f t="shared" si="25"/>
        <v>0</v>
      </c>
      <c r="AH37" s="643">
        <f t="shared" si="25"/>
        <v>0</v>
      </c>
      <c r="AI37" s="643">
        <f t="shared" si="25"/>
        <v>0</v>
      </c>
      <c r="AJ37" s="643">
        <f t="shared" si="25"/>
        <v>0</v>
      </c>
      <c r="AK37" s="643">
        <f t="shared" si="26"/>
        <v>0</v>
      </c>
      <c r="AL37" s="643">
        <f t="shared" si="26"/>
        <v>0</v>
      </c>
      <c r="AM37" s="643">
        <f t="shared" si="26"/>
        <v>0</v>
      </c>
      <c r="AN37" s="643">
        <f t="shared" si="26"/>
        <v>0</v>
      </c>
      <c r="AO37" s="643">
        <f t="shared" si="26"/>
        <v>0</v>
      </c>
      <c r="AP37" s="643">
        <f t="shared" si="26"/>
        <v>0</v>
      </c>
      <c r="AQ37" s="643">
        <f t="shared" si="26"/>
        <v>0</v>
      </c>
      <c r="AR37" s="643">
        <f t="shared" si="26"/>
        <v>0</v>
      </c>
      <c r="AS37" s="643">
        <f t="shared" si="26"/>
        <v>0</v>
      </c>
      <c r="AT37" s="643">
        <f t="shared" si="26"/>
        <v>0</v>
      </c>
      <c r="AU37" s="643">
        <f t="shared" si="27"/>
        <v>0</v>
      </c>
      <c r="AV37" s="643">
        <f t="shared" si="27"/>
        <v>0</v>
      </c>
      <c r="AW37" s="643">
        <f t="shared" si="27"/>
        <v>0</v>
      </c>
      <c r="AX37" s="643">
        <f t="shared" si="27"/>
        <v>0</v>
      </c>
      <c r="AY37" s="643">
        <f t="shared" si="27"/>
        <v>0</v>
      </c>
      <c r="AZ37" s="643">
        <f t="shared" si="27"/>
        <v>0</v>
      </c>
      <c r="BA37" s="643">
        <f t="shared" si="27"/>
        <v>0</v>
      </c>
      <c r="BB37" s="643">
        <f t="shared" si="27"/>
        <v>0</v>
      </c>
      <c r="BC37" s="643">
        <f t="shared" si="27"/>
        <v>0</v>
      </c>
      <c r="BD37" s="643">
        <f t="shared" si="27"/>
        <v>0</v>
      </c>
      <c r="BE37" s="644">
        <f>SUM(טבלה3540[[#This Row],[1]:[50]])</f>
        <v>0</v>
      </c>
      <c r="BF37" s="534">
        <f>טבלה3540[[#This Row],[סה"כ]]</f>
        <v>0</v>
      </c>
      <c r="BG37" s="645" t="str">
        <f>טבלה3540[[#This Row],[פרודוקטים]]</f>
        <v>תפו"א טריים</v>
      </c>
      <c r="BH37" s="646"/>
      <c r="BJ37" s="531"/>
      <c r="BK37" s="531"/>
      <c r="BL37" s="531"/>
      <c r="BM37" s="531"/>
    </row>
    <row r="38" spans="1:65">
      <c r="A38" s="518" t="s">
        <v>1012</v>
      </c>
      <c r="B38" s="518">
        <v>364</v>
      </c>
      <c r="C38" s="518" t="s">
        <v>926</v>
      </c>
      <c r="D38" s="609" t="s">
        <v>889</v>
      </c>
      <c r="E38" s="609"/>
      <c r="F38" s="523">
        <f>1/20</f>
        <v>0.05</v>
      </c>
      <c r="G38" s="517">
        <f t="shared" si="23"/>
        <v>0</v>
      </c>
      <c r="H38" s="517">
        <f t="shared" si="23"/>
        <v>0</v>
      </c>
      <c r="I38" s="517">
        <f t="shared" si="23"/>
        <v>0</v>
      </c>
      <c r="J38" s="517">
        <f t="shared" si="23"/>
        <v>0</v>
      </c>
      <c r="K38" s="517">
        <f t="shared" si="23"/>
        <v>0</v>
      </c>
      <c r="L38" s="517">
        <f t="shared" si="23"/>
        <v>0</v>
      </c>
      <c r="M38" s="517">
        <f t="shared" si="23"/>
        <v>0</v>
      </c>
      <c r="N38" s="517">
        <f t="shared" si="23"/>
        <v>0</v>
      </c>
      <c r="O38" s="517">
        <f t="shared" si="23"/>
        <v>0</v>
      </c>
      <c r="P38" s="517">
        <f t="shared" si="23"/>
        <v>0</v>
      </c>
      <c r="Q38" s="517">
        <f t="shared" si="24"/>
        <v>0</v>
      </c>
      <c r="R38" s="517">
        <f t="shared" si="24"/>
        <v>0</v>
      </c>
      <c r="S38" s="517">
        <f t="shared" si="24"/>
        <v>0</v>
      </c>
      <c r="T38" s="517">
        <f t="shared" si="24"/>
        <v>0</v>
      </c>
      <c r="U38" s="517">
        <f t="shared" si="24"/>
        <v>0</v>
      </c>
      <c r="V38" s="517">
        <f t="shared" si="24"/>
        <v>0</v>
      </c>
      <c r="W38" s="517">
        <f t="shared" si="24"/>
        <v>0</v>
      </c>
      <c r="X38" s="517">
        <f t="shared" si="24"/>
        <v>0</v>
      </c>
      <c r="Y38" s="517">
        <f t="shared" si="24"/>
        <v>0</v>
      </c>
      <c r="Z38" s="517">
        <f t="shared" si="24"/>
        <v>0</v>
      </c>
      <c r="AA38" s="517">
        <f t="shared" si="25"/>
        <v>0</v>
      </c>
      <c r="AB38" s="517">
        <f t="shared" si="25"/>
        <v>0</v>
      </c>
      <c r="AC38" s="517">
        <f t="shared" si="25"/>
        <v>0</v>
      </c>
      <c r="AD38" s="517">
        <f t="shared" si="25"/>
        <v>0</v>
      </c>
      <c r="AE38" s="517">
        <f t="shared" si="25"/>
        <v>0</v>
      </c>
      <c r="AF38" s="517">
        <f t="shared" si="25"/>
        <v>0</v>
      </c>
      <c r="AG38" s="517">
        <f t="shared" si="25"/>
        <v>0</v>
      </c>
      <c r="AH38" s="517">
        <f t="shared" si="25"/>
        <v>0</v>
      </c>
      <c r="AI38" s="517">
        <f t="shared" si="25"/>
        <v>0</v>
      </c>
      <c r="AJ38" s="517">
        <f t="shared" si="25"/>
        <v>0</v>
      </c>
      <c r="AK38" s="517">
        <f t="shared" si="26"/>
        <v>0</v>
      </c>
      <c r="AL38" s="517">
        <f t="shared" si="26"/>
        <v>0</v>
      </c>
      <c r="AM38" s="517">
        <f t="shared" si="26"/>
        <v>0</v>
      </c>
      <c r="AN38" s="517">
        <f t="shared" si="26"/>
        <v>0</v>
      </c>
      <c r="AO38" s="517">
        <f t="shared" si="26"/>
        <v>0</v>
      </c>
      <c r="AP38" s="517">
        <f t="shared" si="26"/>
        <v>0</v>
      </c>
      <c r="AQ38" s="517">
        <f t="shared" si="26"/>
        <v>0</v>
      </c>
      <c r="AR38" s="517">
        <f t="shared" si="26"/>
        <v>0</v>
      </c>
      <c r="AS38" s="517">
        <f t="shared" si="26"/>
        <v>0</v>
      </c>
      <c r="AT38" s="517">
        <f t="shared" si="26"/>
        <v>0</v>
      </c>
      <c r="AU38" s="517">
        <f t="shared" si="27"/>
        <v>0</v>
      </c>
      <c r="AV38" s="517">
        <f t="shared" si="27"/>
        <v>0</v>
      </c>
      <c r="AW38" s="517">
        <f t="shared" si="27"/>
        <v>0</v>
      </c>
      <c r="AX38" s="517">
        <f t="shared" si="27"/>
        <v>0</v>
      </c>
      <c r="AY38" s="517">
        <f t="shared" si="27"/>
        <v>0</v>
      </c>
      <c r="AZ38" s="517">
        <f t="shared" si="27"/>
        <v>0</v>
      </c>
      <c r="BA38" s="517">
        <f t="shared" si="27"/>
        <v>0</v>
      </c>
      <c r="BB38" s="517">
        <f t="shared" si="27"/>
        <v>0</v>
      </c>
      <c r="BC38" s="517">
        <f t="shared" si="27"/>
        <v>0</v>
      </c>
      <c r="BD38" s="517">
        <f t="shared" si="27"/>
        <v>0</v>
      </c>
      <c r="BE38" s="534">
        <f>SUM(טבלה3540[[#This Row],[1]:[50]])</f>
        <v>0</v>
      </c>
      <c r="BF38" s="534">
        <f>טבלה3540[[#This Row],[סה"כ]]</f>
        <v>0</v>
      </c>
      <c r="BG38" s="581" t="str">
        <f>טבלה3540[[#This Row],[פרודוקטים]]</f>
        <v>כרוב</v>
      </c>
      <c r="BJ38" s="531"/>
      <c r="BK38" s="531"/>
      <c r="BL38" s="531"/>
      <c r="BM38" s="531"/>
    </row>
    <row r="39" spans="1:65">
      <c r="A39" s="518" t="s">
        <v>1012</v>
      </c>
      <c r="B39" s="518">
        <v>2969</v>
      </c>
      <c r="C39" s="518" t="s">
        <v>899</v>
      </c>
      <c r="D39" s="609" t="s">
        <v>894</v>
      </c>
      <c r="E39" s="609"/>
      <c r="F39" s="523">
        <v>3.3333333333333333E-2</v>
      </c>
      <c r="G39" s="517">
        <f t="shared" si="23"/>
        <v>0</v>
      </c>
      <c r="H39" s="517">
        <f t="shared" si="23"/>
        <v>0</v>
      </c>
      <c r="I39" s="517">
        <f t="shared" si="23"/>
        <v>0</v>
      </c>
      <c r="J39" s="517">
        <f t="shared" si="23"/>
        <v>0</v>
      </c>
      <c r="K39" s="517">
        <f t="shared" si="23"/>
        <v>0</v>
      </c>
      <c r="L39" s="517">
        <f t="shared" si="23"/>
        <v>0</v>
      </c>
      <c r="M39" s="517">
        <f t="shared" si="23"/>
        <v>0</v>
      </c>
      <c r="N39" s="517">
        <f t="shared" si="23"/>
        <v>0</v>
      </c>
      <c r="O39" s="517">
        <f t="shared" si="23"/>
        <v>0</v>
      </c>
      <c r="P39" s="517">
        <f t="shared" si="23"/>
        <v>0</v>
      </c>
      <c r="Q39" s="517">
        <f t="shared" si="24"/>
        <v>0</v>
      </c>
      <c r="R39" s="517">
        <f t="shared" si="24"/>
        <v>0</v>
      </c>
      <c r="S39" s="517">
        <f t="shared" si="24"/>
        <v>0</v>
      </c>
      <c r="T39" s="517">
        <f t="shared" si="24"/>
        <v>0</v>
      </c>
      <c r="U39" s="517">
        <f t="shared" si="24"/>
        <v>0</v>
      </c>
      <c r="V39" s="517">
        <f t="shared" si="24"/>
        <v>0</v>
      </c>
      <c r="W39" s="517">
        <f t="shared" si="24"/>
        <v>0</v>
      </c>
      <c r="X39" s="517">
        <f t="shared" si="24"/>
        <v>0</v>
      </c>
      <c r="Y39" s="517">
        <f t="shared" si="24"/>
        <v>0</v>
      </c>
      <c r="Z39" s="517">
        <f t="shared" si="24"/>
        <v>0</v>
      </c>
      <c r="AA39" s="517">
        <f t="shared" si="25"/>
        <v>0</v>
      </c>
      <c r="AB39" s="517">
        <f t="shared" si="25"/>
        <v>0</v>
      </c>
      <c r="AC39" s="517">
        <f t="shared" si="25"/>
        <v>0</v>
      </c>
      <c r="AD39" s="517">
        <f t="shared" si="25"/>
        <v>0</v>
      </c>
      <c r="AE39" s="517">
        <f t="shared" si="25"/>
        <v>0</v>
      </c>
      <c r="AF39" s="517">
        <f t="shared" si="25"/>
        <v>0</v>
      </c>
      <c r="AG39" s="517">
        <f t="shared" si="25"/>
        <v>0</v>
      </c>
      <c r="AH39" s="517">
        <f t="shared" si="25"/>
        <v>0</v>
      </c>
      <c r="AI39" s="517">
        <f t="shared" si="25"/>
        <v>0</v>
      </c>
      <c r="AJ39" s="517">
        <f t="shared" si="25"/>
        <v>0</v>
      </c>
      <c r="AK39" s="517">
        <f t="shared" si="26"/>
        <v>0</v>
      </c>
      <c r="AL39" s="517">
        <f t="shared" si="26"/>
        <v>0</v>
      </c>
      <c r="AM39" s="517">
        <f t="shared" si="26"/>
        <v>0</v>
      </c>
      <c r="AN39" s="517">
        <f t="shared" si="26"/>
        <v>0</v>
      </c>
      <c r="AO39" s="517">
        <f t="shared" si="26"/>
        <v>0</v>
      </c>
      <c r="AP39" s="517">
        <f t="shared" si="26"/>
        <v>0</v>
      </c>
      <c r="AQ39" s="517">
        <f t="shared" si="26"/>
        <v>0</v>
      </c>
      <c r="AR39" s="517">
        <f t="shared" si="26"/>
        <v>0</v>
      </c>
      <c r="AS39" s="517">
        <f t="shared" si="26"/>
        <v>0</v>
      </c>
      <c r="AT39" s="517">
        <f t="shared" si="26"/>
        <v>0</v>
      </c>
      <c r="AU39" s="517">
        <f t="shared" si="27"/>
        <v>0</v>
      </c>
      <c r="AV39" s="517">
        <f t="shared" si="27"/>
        <v>0</v>
      </c>
      <c r="AW39" s="517">
        <f t="shared" si="27"/>
        <v>0</v>
      </c>
      <c r="AX39" s="517">
        <f t="shared" si="27"/>
        <v>0</v>
      </c>
      <c r="AY39" s="517">
        <f t="shared" si="27"/>
        <v>0</v>
      </c>
      <c r="AZ39" s="517">
        <f t="shared" si="27"/>
        <v>0</v>
      </c>
      <c r="BA39" s="517">
        <f t="shared" si="27"/>
        <v>0</v>
      </c>
      <c r="BB39" s="517">
        <f t="shared" si="27"/>
        <v>0</v>
      </c>
      <c r="BC39" s="517">
        <f t="shared" si="27"/>
        <v>0</v>
      </c>
      <c r="BD39" s="517">
        <f t="shared" si="27"/>
        <v>0</v>
      </c>
      <c r="BE39" s="534">
        <f>SUM(טבלה3540[[#This Row],[1]:[50]])</f>
        <v>0</v>
      </c>
      <c r="BF39" s="534">
        <f>טבלה3540[[#This Row],[סה"כ]]</f>
        <v>0</v>
      </c>
      <c r="BG39" s="581" t="str">
        <f>טבלה3540[[#This Row],[פרודוקטים]]</f>
        <v>לקט</v>
      </c>
      <c r="BJ39" s="531"/>
      <c r="BK39" s="531"/>
      <c r="BL39" s="531"/>
    </row>
    <row r="40" spans="1:65">
      <c r="A40" s="518" t="s">
        <v>1012</v>
      </c>
      <c r="B40" s="518">
        <v>8455</v>
      </c>
      <c r="C40" s="518" t="s">
        <v>23</v>
      </c>
      <c r="D40" s="530" t="s">
        <v>720</v>
      </c>
      <c r="E40" s="530"/>
      <c r="F40" s="523">
        <v>7.1428571428571425E-2</v>
      </c>
      <c r="G40" s="517">
        <f t="shared" si="23"/>
        <v>0</v>
      </c>
      <c r="H40" s="517">
        <f t="shared" si="23"/>
        <v>0</v>
      </c>
      <c r="I40" s="517">
        <f t="shared" si="23"/>
        <v>0</v>
      </c>
      <c r="J40" s="517">
        <f t="shared" si="23"/>
        <v>0</v>
      </c>
      <c r="K40" s="517">
        <f t="shared" si="23"/>
        <v>0</v>
      </c>
      <c r="L40" s="517">
        <f t="shared" si="23"/>
        <v>0</v>
      </c>
      <c r="M40" s="517">
        <f t="shared" si="23"/>
        <v>0</v>
      </c>
      <c r="N40" s="517">
        <f t="shared" si="23"/>
        <v>0</v>
      </c>
      <c r="O40" s="517">
        <f t="shared" si="23"/>
        <v>0</v>
      </c>
      <c r="P40" s="517">
        <f t="shared" si="23"/>
        <v>0</v>
      </c>
      <c r="Q40" s="517">
        <f t="shared" si="24"/>
        <v>0</v>
      </c>
      <c r="R40" s="517">
        <f t="shared" si="24"/>
        <v>0</v>
      </c>
      <c r="S40" s="517">
        <f t="shared" si="24"/>
        <v>0</v>
      </c>
      <c r="T40" s="517">
        <f t="shared" si="24"/>
        <v>0</v>
      </c>
      <c r="U40" s="517">
        <f t="shared" si="24"/>
        <v>0</v>
      </c>
      <c r="V40" s="517">
        <f t="shared" si="24"/>
        <v>0</v>
      </c>
      <c r="W40" s="517">
        <f t="shared" si="24"/>
        <v>0</v>
      </c>
      <c r="X40" s="517">
        <f t="shared" si="24"/>
        <v>0</v>
      </c>
      <c r="Y40" s="517">
        <f t="shared" si="24"/>
        <v>0</v>
      </c>
      <c r="Z40" s="517">
        <f t="shared" si="24"/>
        <v>0</v>
      </c>
      <c r="AA40" s="517">
        <f t="shared" si="25"/>
        <v>0</v>
      </c>
      <c r="AB40" s="517">
        <f t="shared" si="25"/>
        <v>0</v>
      </c>
      <c r="AC40" s="517">
        <f t="shared" si="25"/>
        <v>0</v>
      </c>
      <c r="AD40" s="517">
        <f t="shared" si="25"/>
        <v>0</v>
      </c>
      <c r="AE40" s="517">
        <f t="shared" si="25"/>
        <v>0</v>
      </c>
      <c r="AF40" s="517">
        <f t="shared" si="25"/>
        <v>0</v>
      </c>
      <c r="AG40" s="517">
        <f t="shared" si="25"/>
        <v>0</v>
      </c>
      <c r="AH40" s="517">
        <f t="shared" si="25"/>
        <v>0</v>
      </c>
      <c r="AI40" s="517">
        <f t="shared" si="25"/>
        <v>0</v>
      </c>
      <c r="AJ40" s="517">
        <f t="shared" si="25"/>
        <v>0</v>
      </c>
      <c r="AK40" s="517">
        <f t="shared" si="26"/>
        <v>0</v>
      </c>
      <c r="AL40" s="517">
        <f t="shared" si="26"/>
        <v>0</v>
      </c>
      <c r="AM40" s="517">
        <f t="shared" si="26"/>
        <v>0</v>
      </c>
      <c r="AN40" s="517">
        <f t="shared" si="26"/>
        <v>0</v>
      </c>
      <c r="AO40" s="517">
        <f t="shared" si="26"/>
        <v>0</v>
      </c>
      <c r="AP40" s="517">
        <f t="shared" si="26"/>
        <v>0</v>
      </c>
      <c r="AQ40" s="517">
        <f t="shared" si="26"/>
        <v>0</v>
      </c>
      <c r="AR40" s="517">
        <f t="shared" si="26"/>
        <v>0</v>
      </c>
      <c r="AS40" s="517">
        <f t="shared" si="26"/>
        <v>0</v>
      </c>
      <c r="AT40" s="517">
        <f t="shared" si="26"/>
        <v>0</v>
      </c>
      <c r="AU40" s="517">
        <f t="shared" si="27"/>
        <v>0</v>
      </c>
      <c r="AV40" s="517">
        <f t="shared" si="27"/>
        <v>0</v>
      </c>
      <c r="AW40" s="517">
        <f t="shared" si="27"/>
        <v>0</v>
      </c>
      <c r="AX40" s="517">
        <f t="shared" si="27"/>
        <v>0</v>
      </c>
      <c r="AY40" s="517">
        <f t="shared" si="27"/>
        <v>0</v>
      </c>
      <c r="AZ40" s="517">
        <f t="shared" si="27"/>
        <v>0</v>
      </c>
      <c r="BA40" s="517">
        <f t="shared" si="27"/>
        <v>0</v>
      </c>
      <c r="BB40" s="517">
        <f t="shared" si="27"/>
        <v>0</v>
      </c>
      <c r="BC40" s="517">
        <f t="shared" si="27"/>
        <v>0</v>
      </c>
      <c r="BD40" s="517">
        <f t="shared" si="27"/>
        <v>0</v>
      </c>
      <c r="BE40" s="534">
        <f>SUM(טבלה3540[[#This Row],[1]:[50]])</f>
        <v>0</v>
      </c>
      <c r="BF40" s="534">
        <f>טבלה3540[[#This Row],[סה"כ]]</f>
        <v>0</v>
      </c>
      <c r="BG40" s="581" t="str">
        <f>טבלה3540[[#This Row],[פרודוקטים]]</f>
        <v>לחם פרוס אחיד</v>
      </c>
      <c r="BJ40" s="531"/>
      <c r="BK40" s="531"/>
      <c r="BL40" s="531"/>
    </row>
    <row r="41" spans="1:65">
      <c r="A41" s="518" t="s">
        <v>1012</v>
      </c>
      <c r="B41" s="518">
        <v>5833</v>
      </c>
      <c r="C41" s="518" t="s">
        <v>957</v>
      </c>
      <c r="D41" s="609" t="s">
        <v>736</v>
      </c>
      <c r="E41" s="609"/>
      <c r="F41" s="522">
        <v>120</v>
      </c>
      <c r="G41" s="517">
        <f t="shared" ref="G41:AL41" si="28">ROUNDUP($F41*(G$4+G$3),0)</f>
        <v>0</v>
      </c>
      <c r="H41" s="517">
        <f t="shared" si="28"/>
        <v>0</v>
      </c>
      <c r="I41" s="517">
        <f t="shared" si="28"/>
        <v>0</v>
      </c>
      <c r="J41" s="517">
        <f t="shared" si="28"/>
        <v>0</v>
      </c>
      <c r="K41" s="517">
        <f t="shared" si="28"/>
        <v>0</v>
      </c>
      <c r="L41" s="517">
        <f t="shared" si="28"/>
        <v>0</v>
      </c>
      <c r="M41" s="517">
        <f t="shared" si="28"/>
        <v>0</v>
      </c>
      <c r="N41" s="517">
        <f t="shared" si="28"/>
        <v>0</v>
      </c>
      <c r="O41" s="517">
        <f t="shared" si="28"/>
        <v>0</v>
      </c>
      <c r="P41" s="517">
        <f t="shared" si="28"/>
        <v>0</v>
      </c>
      <c r="Q41" s="517">
        <f t="shared" si="28"/>
        <v>0</v>
      </c>
      <c r="R41" s="517">
        <f t="shared" si="28"/>
        <v>0</v>
      </c>
      <c r="S41" s="517">
        <f t="shared" si="28"/>
        <v>0</v>
      </c>
      <c r="T41" s="517">
        <f t="shared" si="28"/>
        <v>0</v>
      </c>
      <c r="U41" s="517">
        <f t="shared" si="28"/>
        <v>0</v>
      </c>
      <c r="V41" s="517">
        <f t="shared" si="28"/>
        <v>0</v>
      </c>
      <c r="W41" s="517">
        <f t="shared" si="28"/>
        <v>0</v>
      </c>
      <c r="X41" s="517">
        <f t="shared" si="28"/>
        <v>0</v>
      </c>
      <c r="Y41" s="517">
        <f t="shared" si="28"/>
        <v>0</v>
      </c>
      <c r="Z41" s="517">
        <f t="shared" si="28"/>
        <v>0</v>
      </c>
      <c r="AA41" s="517">
        <f t="shared" si="28"/>
        <v>0</v>
      </c>
      <c r="AB41" s="517">
        <f t="shared" si="28"/>
        <v>0</v>
      </c>
      <c r="AC41" s="517">
        <f t="shared" si="28"/>
        <v>0</v>
      </c>
      <c r="AD41" s="517">
        <f t="shared" si="28"/>
        <v>0</v>
      </c>
      <c r="AE41" s="517">
        <f t="shared" si="28"/>
        <v>0</v>
      </c>
      <c r="AF41" s="517">
        <f t="shared" si="28"/>
        <v>0</v>
      </c>
      <c r="AG41" s="517">
        <f t="shared" si="28"/>
        <v>0</v>
      </c>
      <c r="AH41" s="517">
        <f t="shared" si="28"/>
        <v>0</v>
      </c>
      <c r="AI41" s="517">
        <f t="shared" si="28"/>
        <v>0</v>
      </c>
      <c r="AJ41" s="517">
        <f t="shared" si="28"/>
        <v>0</v>
      </c>
      <c r="AK41" s="517">
        <f t="shared" si="28"/>
        <v>0</v>
      </c>
      <c r="AL41" s="517">
        <f t="shared" si="28"/>
        <v>0</v>
      </c>
      <c r="AM41" s="517">
        <f t="shared" ref="AM41:BD41" si="29">ROUNDUP($F41*(AM$4+AM$3),0)</f>
        <v>0</v>
      </c>
      <c r="AN41" s="517">
        <f t="shared" si="29"/>
        <v>0</v>
      </c>
      <c r="AO41" s="517">
        <f t="shared" si="29"/>
        <v>0</v>
      </c>
      <c r="AP41" s="517">
        <f t="shared" si="29"/>
        <v>0</v>
      </c>
      <c r="AQ41" s="517">
        <f t="shared" si="29"/>
        <v>0</v>
      </c>
      <c r="AR41" s="517">
        <f t="shared" si="29"/>
        <v>0</v>
      </c>
      <c r="AS41" s="517">
        <f t="shared" si="29"/>
        <v>0</v>
      </c>
      <c r="AT41" s="517">
        <f t="shared" si="29"/>
        <v>0</v>
      </c>
      <c r="AU41" s="517">
        <f t="shared" si="29"/>
        <v>0</v>
      </c>
      <c r="AV41" s="517">
        <f t="shared" si="29"/>
        <v>0</v>
      </c>
      <c r="AW41" s="517">
        <f t="shared" si="29"/>
        <v>0</v>
      </c>
      <c r="AX41" s="517">
        <f t="shared" si="29"/>
        <v>0</v>
      </c>
      <c r="AY41" s="517">
        <f t="shared" si="29"/>
        <v>0</v>
      </c>
      <c r="AZ41" s="517">
        <f t="shared" si="29"/>
        <v>0</v>
      </c>
      <c r="BA41" s="517">
        <f t="shared" si="29"/>
        <v>0</v>
      </c>
      <c r="BB41" s="517">
        <f t="shared" si="29"/>
        <v>0</v>
      </c>
      <c r="BC41" s="517">
        <f t="shared" si="29"/>
        <v>0</v>
      </c>
      <c r="BD41" s="517">
        <f t="shared" si="29"/>
        <v>0</v>
      </c>
      <c r="BE41" s="534">
        <f>SUM(טבלה3540[[#This Row],[1]:[50]])</f>
        <v>0</v>
      </c>
      <c r="BF41" s="534">
        <f>CEILING(טבלה3540[[#This Row],[סה"כ]],500)/500</f>
        <v>0</v>
      </c>
      <c r="BG41" s="581" t="str">
        <f>טבלה3540[[#This Row],[פרודוקטים]]</f>
        <v>קציצות עדשים</v>
      </c>
      <c r="BJ41" s="531"/>
      <c r="BK41" s="531"/>
      <c r="BL41" s="531"/>
    </row>
    <row r="42" spans="1:65">
      <c r="A42" s="518" t="s">
        <v>1012</v>
      </c>
      <c r="B42" s="518">
        <v>11710</v>
      </c>
      <c r="C42" s="518" t="s">
        <v>112</v>
      </c>
      <c r="D42" s="609" t="s">
        <v>629</v>
      </c>
      <c r="E42" s="609"/>
      <c r="F42" s="522">
        <v>1</v>
      </c>
      <c r="G42" s="517">
        <f t="shared" ref="G42:AL42" si="30">ROUNDUP($F42*G$5,0)</f>
        <v>0</v>
      </c>
      <c r="H42" s="517">
        <f t="shared" si="30"/>
        <v>0</v>
      </c>
      <c r="I42" s="517">
        <f t="shared" si="30"/>
        <v>0</v>
      </c>
      <c r="J42" s="517">
        <f t="shared" si="30"/>
        <v>0</v>
      </c>
      <c r="K42" s="517">
        <f t="shared" si="30"/>
        <v>0</v>
      </c>
      <c r="L42" s="517">
        <f t="shared" si="30"/>
        <v>0</v>
      </c>
      <c r="M42" s="517">
        <f t="shared" si="30"/>
        <v>0</v>
      </c>
      <c r="N42" s="517">
        <f t="shared" si="30"/>
        <v>0</v>
      </c>
      <c r="O42" s="517">
        <f t="shared" si="30"/>
        <v>0</v>
      </c>
      <c r="P42" s="517">
        <f t="shared" si="30"/>
        <v>0</v>
      </c>
      <c r="Q42" s="517">
        <f t="shared" si="30"/>
        <v>0</v>
      </c>
      <c r="R42" s="517">
        <f t="shared" si="30"/>
        <v>0</v>
      </c>
      <c r="S42" s="517">
        <f t="shared" si="30"/>
        <v>0</v>
      </c>
      <c r="T42" s="517">
        <f t="shared" si="30"/>
        <v>0</v>
      </c>
      <c r="U42" s="517">
        <f t="shared" si="30"/>
        <v>0</v>
      </c>
      <c r="V42" s="517">
        <f t="shared" si="30"/>
        <v>0</v>
      </c>
      <c r="W42" s="517">
        <f t="shared" si="30"/>
        <v>0</v>
      </c>
      <c r="X42" s="517">
        <f t="shared" si="30"/>
        <v>0</v>
      </c>
      <c r="Y42" s="517">
        <f t="shared" si="30"/>
        <v>0</v>
      </c>
      <c r="Z42" s="517">
        <f t="shared" si="30"/>
        <v>0</v>
      </c>
      <c r="AA42" s="517">
        <f t="shared" si="30"/>
        <v>0</v>
      </c>
      <c r="AB42" s="517">
        <f t="shared" si="30"/>
        <v>0</v>
      </c>
      <c r="AC42" s="517">
        <f t="shared" si="30"/>
        <v>0</v>
      </c>
      <c r="AD42" s="517">
        <f t="shared" si="30"/>
        <v>0</v>
      </c>
      <c r="AE42" s="517">
        <f t="shared" si="30"/>
        <v>0</v>
      </c>
      <c r="AF42" s="517">
        <f t="shared" si="30"/>
        <v>0</v>
      </c>
      <c r="AG42" s="517">
        <f t="shared" si="30"/>
        <v>0</v>
      </c>
      <c r="AH42" s="517">
        <f t="shared" si="30"/>
        <v>0</v>
      </c>
      <c r="AI42" s="517">
        <f t="shared" si="30"/>
        <v>0</v>
      </c>
      <c r="AJ42" s="517">
        <f t="shared" si="30"/>
        <v>0</v>
      </c>
      <c r="AK42" s="517">
        <f t="shared" si="30"/>
        <v>0</v>
      </c>
      <c r="AL42" s="517">
        <f t="shared" si="30"/>
        <v>0</v>
      </c>
      <c r="AM42" s="517">
        <f t="shared" ref="AM42:BD42" si="31">ROUNDUP($F42*AM$5,0)</f>
        <v>0</v>
      </c>
      <c r="AN42" s="517">
        <f t="shared" si="31"/>
        <v>0</v>
      </c>
      <c r="AO42" s="517">
        <f t="shared" si="31"/>
        <v>0</v>
      </c>
      <c r="AP42" s="517">
        <f t="shared" si="31"/>
        <v>0</v>
      </c>
      <c r="AQ42" s="517">
        <f t="shared" si="31"/>
        <v>0</v>
      </c>
      <c r="AR42" s="517">
        <f t="shared" si="31"/>
        <v>0</v>
      </c>
      <c r="AS42" s="517">
        <f t="shared" si="31"/>
        <v>0</v>
      </c>
      <c r="AT42" s="517">
        <f t="shared" si="31"/>
        <v>0</v>
      </c>
      <c r="AU42" s="517">
        <f t="shared" si="31"/>
        <v>0</v>
      </c>
      <c r="AV42" s="517">
        <f t="shared" si="31"/>
        <v>0</v>
      </c>
      <c r="AW42" s="517">
        <f t="shared" si="31"/>
        <v>0</v>
      </c>
      <c r="AX42" s="517">
        <f t="shared" si="31"/>
        <v>0</v>
      </c>
      <c r="AY42" s="517">
        <f t="shared" si="31"/>
        <v>0</v>
      </c>
      <c r="AZ42" s="517">
        <f t="shared" si="31"/>
        <v>0</v>
      </c>
      <c r="BA42" s="517">
        <f t="shared" si="31"/>
        <v>0</v>
      </c>
      <c r="BB42" s="517">
        <f t="shared" si="31"/>
        <v>0</v>
      </c>
      <c r="BC42" s="517">
        <f t="shared" si="31"/>
        <v>0</v>
      </c>
      <c r="BD42" s="517">
        <f t="shared" si="31"/>
        <v>0</v>
      </c>
      <c r="BE42" s="534">
        <f>SUM(טבלה3540[[#This Row],[1]:[50]])</f>
        <v>0</v>
      </c>
      <c r="BF42" s="534">
        <f>טבלה3540[[#This Row],[סה"כ]]</f>
        <v>0</v>
      </c>
      <c r="BG42" s="581" t="str">
        <f>טבלה3540[[#This Row],[פרודוקטים]]</f>
        <v>מנה צליאק</v>
      </c>
      <c r="BJ42" s="531"/>
      <c r="BK42" s="531"/>
      <c r="BL42" s="531"/>
    </row>
    <row r="43" spans="1:65">
      <c r="A43" s="518" t="s">
        <v>1012</v>
      </c>
      <c r="B43" s="518">
        <v>6689</v>
      </c>
      <c r="C43" s="518" t="s">
        <v>25</v>
      </c>
      <c r="D43" s="609" t="s">
        <v>878</v>
      </c>
      <c r="E43" s="609"/>
      <c r="F43" s="523">
        <f>1/5</f>
        <v>0.2</v>
      </c>
      <c r="G43" s="517">
        <f t="shared" ref="G43:AL43" si="32">ROUNDUP($F43*G$2,0)</f>
        <v>0</v>
      </c>
      <c r="H43" s="517">
        <f t="shared" si="32"/>
        <v>0</v>
      </c>
      <c r="I43" s="517">
        <f t="shared" si="32"/>
        <v>0</v>
      </c>
      <c r="J43" s="517">
        <f t="shared" si="32"/>
        <v>0</v>
      </c>
      <c r="K43" s="517">
        <f t="shared" si="32"/>
        <v>0</v>
      </c>
      <c r="L43" s="517">
        <f t="shared" si="32"/>
        <v>0</v>
      </c>
      <c r="M43" s="517">
        <f t="shared" si="32"/>
        <v>0</v>
      </c>
      <c r="N43" s="517">
        <f t="shared" si="32"/>
        <v>0</v>
      </c>
      <c r="O43" s="517">
        <f t="shared" si="32"/>
        <v>0</v>
      </c>
      <c r="P43" s="517">
        <f t="shared" si="32"/>
        <v>0</v>
      </c>
      <c r="Q43" s="517">
        <f t="shared" si="32"/>
        <v>0</v>
      </c>
      <c r="R43" s="517">
        <f t="shared" si="32"/>
        <v>0</v>
      </c>
      <c r="S43" s="517">
        <f t="shared" si="32"/>
        <v>0</v>
      </c>
      <c r="T43" s="517">
        <f t="shared" si="32"/>
        <v>0</v>
      </c>
      <c r="U43" s="517">
        <f t="shared" si="32"/>
        <v>0</v>
      </c>
      <c r="V43" s="517">
        <f t="shared" si="32"/>
        <v>0</v>
      </c>
      <c r="W43" s="517">
        <f t="shared" si="32"/>
        <v>0</v>
      </c>
      <c r="X43" s="517">
        <f t="shared" si="32"/>
        <v>0</v>
      </c>
      <c r="Y43" s="517">
        <f t="shared" si="32"/>
        <v>0</v>
      </c>
      <c r="Z43" s="517">
        <f t="shared" si="32"/>
        <v>0</v>
      </c>
      <c r="AA43" s="517">
        <f t="shared" si="32"/>
        <v>0</v>
      </c>
      <c r="AB43" s="517">
        <f t="shared" si="32"/>
        <v>0</v>
      </c>
      <c r="AC43" s="517">
        <f t="shared" si="32"/>
        <v>0</v>
      </c>
      <c r="AD43" s="517">
        <f t="shared" si="32"/>
        <v>0</v>
      </c>
      <c r="AE43" s="517">
        <f t="shared" si="32"/>
        <v>0</v>
      </c>
      <c r="AF43" s="517">
        <f t="shared" si="32"/>
        <v>0</v>
      </c>
      <c r="AG43" s="517">
        <f t="shared" si="32"/>
        <v>0</v>
      </c>
      <c r="AH43" s="517">
        <f t="shared" si="32"/>
        <v>0</v>
      </c>
      <c r="AI43" s="517">
        <f t="shared" si="32"/>
        <v>0</v>
      </c>
      <c r="AJ43" s="517">
        <f t="shared" si="32"/>
        <v>0</v>
      </c>
      <c r="AK43" s="517">
        <f t="shared" si="32"/>
        <v>0</v>
      </c>
      <c r="AL43" s="517">
        <f t="shared" si="32"/>
        <v>0</v>
      </c>
      <c r="AM43" s="517">
        <f t="shared" ref="AM43:BD43" si="33">ROUNDUP($F43*AM$2,0)</f>
        <v>0</v>
      </c>
      <c r="AN43" s="517">
        <f t="shared" si="33"/>
        <v>0</v>
      </c>
      <c r="AO43" s="517">
        <f t="shared" si="33"/>
        <v>0</v>
      </c>
      <c r="AP43" s="517">
        <f t="shared" si="33"/>
        <v>0</v>
      </c>
      <c r="AQ43" s="517">
        <f t="shared" si="33"/>
        <v>0</v>
      </c>
      <c r="AR43" s="517">
        <f t="shared" si="33"/>
        <v>0</v>
      </c>
      <c r="AS43" s="517">
        <f t="shared" si="33"/>
        <v>0</v>
      </c>
      <c r="AT43" s="517">
        <f t="shared" si="33"/>
        <v>0</v>
      </c>
      <c r="AU43" s="517">
        <f t="shared" si="33"/>
        <v>0</v>
      </c>
      <c r="AV43" s="517">
        <f t="shared" si="33"/>
        <v>0</v>
      </c>
      <c r="AW43" s="517">
        <f t="shared" si="33"/>
        <v>0</v>
      </c>
      <c r="AX43" s="517">
        <f t="shared" si="33"/>
        <v>0</v>
      </c>
      <c r="AY43" s="517">
        <f t="shared" si="33"/>
        <v>0</v>
      </c>
      <c r="AZ43" s="517">
        <f t="shared" si="33"/>
        <v>0</v>
      </c>
      <c r="BA43" s="517">
        <f t="shared" si="33"/>
        <v>0</v>
      </c>
      <c r="BB43" s="517">
        <f t="shared" si="33"/>
        <v>0</v>
      </c>
      <c r="BC43" s="517">
        <f t="shared" si="33"/>
        <v>0</v>
      </c>
      <c r="BD43" s="517">
        <f t="shared" si="33"/>
        <v>0</v>
      </c>
      <c r="BE43" s="534">
        <f>SUM(טבלה3540[[#This Row],[1]:[50]])</f>
        <v>0</v>
      </c>
      <c r="BF43" s="534">
        <f>טבלה3540[[#This Row],[סה"כ]]</f>
        <v>0</v>
      </c>
      <c r="BG43" s="581" t="str">
        <f>טבלה3540[[#This Row],[פרודוקטים]]</f>
        <v>שמן</v>
      </c>
      <c r="BJ43" s="531"/>
      <c r="BK43" s="531"/>
      <c r="BL43" s="531"/>
    </row>
    <row r="44" spans="1:65">
      <c r="A44" s="518" t="s">
        <v>1012</v>
      </c>
      <c r="B44" s="518">
        <v>6600</v>
      </c>
      <c r="C44" s="518" t="s">
        <v>106</v>
      </c>
      <c r="D44" s="609" t="s">
        <v>924</v>
      </c>
      <c r="E44" s="609"/>
      <c r="F44" s="523">
        <v>50</v>
      </c>
      <c r="G44" s="517">
        <f t="shared" ref="G44:P45" si="34">IF(G$2&gt;0,$F44,0)</f>
        <v>0</v>
      </c>
      <c r="H44" s="517">
        <f t="shared" si="34"/>
        <v>0</v>
      </c>
      <c r="I44" s="517">
        <f t="shared" si="34"/>
        <v>0</v>
      </c>
      <c r="J44" s="517">
        <f t="shared" si="34"/>
        <v>0</v>
      </c>
      <c r="K44" s="517">
        <f t="shared" si="34"/>
        <v>0</v>
      </c>
      <c r="L44" s="517">
        <f t="shared" si="34"/>
        <v>0</v>
      </c>
      <c r="M44" s="517">
        <f t="shared" si="34"/>
        <v>0</v>
      </c>
      <c r="N44" s="517">
        <f t="shared" si="34"/>
        <v>0</v>
      </c>
      <c r="O44" s="517">
        <f t="shared" si="34"/>
        <v>0</v>
      </c>
      <c r="P44" s="517">
        <f t="shared" si="34"/>
        <v>0</v>
      </c>
      <c r="Q44" s="517">
        <f t="shared" ref="Q44:Z45" si="35">IF(Q$2&gt;0,$F44,0)</f>
        <v>0</v>
      </c>
      <c r="R44" s="517">
        <f t="shared" si="35"/>
        <v>0</v>
      </c>
      <c r="S44" s="517">
        <f t="shared" si="35"/>
        <v>0</v>
      </c>
      <c r="T44" s="517">
        <f t="shared" si="35"/>
        <v>0</v>
      </c>
      <c r="U44" s="517">
        <f t="shared" si="35"/>
        <v>0</v>
      </c>
      <c r="V44" s="517">
        <f t="shared" si="35"/>
        <v>0</v>
      </c>
      <c r="W44" s="517">
        <f t="shared" si="35"/>
        <v>0</v>
      </c>
      <c r="X44" s="517">
        <f t="shared" si="35"/>
        <v>0</v>
      </c>
      <c r="Y44" s="517">
        <f t="shared" si="35"/>
        <v>0</v>
      </c>
      <c r="Z44" s="517">
        <f t="shared" si="35"/>
        <v>0</v>
      </c>
      <c r="AA44" s="517">
        <f t="shared" ref="AA44:AJ45" si="36">IF(AA$2&gt;0,$F44,0)</f>
        <v>0</v>
      </c>
      <c r="AB44" s="517">
        <f t="shared" si="36"/>
        <v>0</v>
      </c>
      <c r="AC44" s="517">
        <f t="shared" si="36"/>
        <v>0</v>
      </c>
      <c r="AD44" s="517">
        <f t="shared" si="36"/>
        <v>0</v>
      </c>
      <c r="AE44" s="517">
        <f t="shared" si="36"/>
        <v>0</v>
      </c>
      <c r="AF44" s="517">
        <f t="shared" si="36"/>
        <v>0</v>
      </c>
      <c r="AG44" s="517">
        <f t="shared" si="36"/>
        <v>0</v>
      </c>
      <c r="AH44" s="517">
        <f t="shared" si="36"/>
        <v>0</v>
      </c>
      <c r="AI44" s="517">
        <f t="shared" si="36"/>
        <v>0</v>
      </c>
      <c r="AJ44" s="517">
        <f t="shared" si="36"/>
        <v>0</v>
      </c>
      <c r="AK44" s="517">
        <f t="shared" ref="AK44:AT45" si="37">IF(AK$2&gt;0,$F44,0)</f>
        <v>0</v>
      </c>
      <c r="AL44" s="517">
        <f t="shared" si="37"/>
        <v>0</v>
      </c>
      <c r="AM44" s="517">
        <f t="shared" si="37"/>
        <v>0</v>
      </c>
      <c r="AN44" s="517">
        <f t="shared" si="37"/>
        <v>0</v>
      </c>
      <c r="AO44" s="517">
        <f t="shared" si="37"/>
        <v>0</v>
      </c>
      <c r="AP44" s="517">
        <f t="shared" si="37"/>
        <v>0</v>
      </c>
      <c r="AQ44" s="517">
        <f t="shared" si="37"/>
        <v>0</v>
      </c>
      <c r="AR44" s="517">
        <f t="shared" si="37"/>
        <v>0</v>
      </c>
      <c r="AS44" s="517">
        <f t="shared" si="37"/>
        <v>0</v>
      </c>
      <c r="AT44" s="517">
        <f t="shared" si="37"/>
        <v>0</v>
      </c>
      <c r="AU44" s="517">
        <f t="shared" ref="AU44:BD45" si="38">IF(AU$2&gt;0,$F44,0)</f>
        <v>0</v>
      </c>
      <c r="AV44" s="517">
        <f t="shared" si="38"/>
        <v>0</v>
      </c>
      <c r="AW44" s="517">
        <f t="shared" si="38"/>
        <v>0</v>
      </c>
      <c r="AX44" s="517">
        <f t="shared" si="38"/>
        <v>0</v>
      </c>
      <c r="AY44" s="517">
        <f t="shared" si="38"/>
        <v>0</v>
      </c>
      <c r="AZ44" s="517">
        <f t="shared" si="38"/>
        <v>0</v>
      </c>
      <c r="BA44" s="517">
        <f t="shared" si="38"/>
        <v>0</v>
      </c>
      <c r="BB44" s="517">
        <f t="shared" si="38"/>
        <v>0</v>
      </c>
      <c r="BC44" s="517">
        <f t="shared" si="38"/>
        <v>0</v>
      </c>
      <c r="BD44" s="517">
        <f t="shared" si="38"/>
        <v>0</v>
      </c>
      <c r="BE44" s="534">
        <f>SUM(טבלה3540[[#This Row],[1]:[50]])</f>
        <v>0</v>
      </c>
      <c r="BF44" s="534">
        <f>CEILING(טבלה3540[[#This Row],[סה"כ]],1000)/1000</f>
        <v>0</v>
      </c>
      <c r="BG44" s="581" t="str">
        <f>טבלה3540[[#This Row],[פרודוקטים]]</f>
        <v>מלח</v>
      </c>
      <c r="BJ44" s="531"/>
      <c r="BK44" s="531"/>
      <c r="BL44" s="531"/>
    </row>
    <row r="45" spans="1:65">
      <c r="A45" s="518" t="s">
        <v>1012</v>
      </c>
      <c r="B45" s="518">
        <v>688</v>
      </c>
      <c r="C45" s="518" t="s">
        <v>727</v>
      </c>
      <c r="D45" s="609" t="s">
        <v>925</v>
      </c>
      <c r="E45" s="609"/>
      <c r="F45" s="523">
        <v>20</v>
      </c>
      <c r="G45" s="517">
        <f t="shared" si="34"/>
        <v>0</v>
      </c>
      <c r="H45" s="517">
        <f t="shared" si="34"/>
        <v>0</v>
      </c>
      <c r="I45" s="517">
        <f t="shared" si="34"/>
        <v>0</v>
      </c>
      <c r="J45" s="517">
        <f t="shared" si="34"/>
        <v>0</v>
      </c>
      <c r="K45" s="517">
        <f t="shared" si="34"/>
        <v>0</v>
      </c>
      <c r="L45" s="517">
        <f t="shared" si="34"/>
        <v>0</v>
      </c>
      <c r="M45" s="517">
        <f t="shared" si="34"/>
        <v>0</v>
      </c>
      <c r="N45" s="517">
        <f t="shared" si="34"/>
        <v>0</v>
      </c>
      <c r="O45" s="517">
        <f t="shared" si="34"/>
        <v>0</v>
      </c>
      <c r="P45" s="517">
        <f t="shared" si="34"/>
        <v>0</v>
      </c>
      <c r="Q45" s="517">
        <f t="shared" si="35"/>
        <v>0</v>
      </c>
      <c r="R45" s="517">
        <f t="shared" si="35"/>
        <v>0</v>
      </c>
      <c r="S45" s="517">
        <f t="shared" si="35"/>
        <v>0</v>
      </c>
      <c r="T45" s="517">
        <f t="shared" si="35"/>
        <v>0</v>
      </c>
      <c r="U45" s="517">
        <f t="shared" si="35"/>
        <v>0</v>
      </c>
      <c r="V45" s="517">
        <f t="shared" si="35"/>
        <v>0</v>
      </c>
      <c r="W45" s="517">
        <f t="shared" si="35"/>
        <v>0</v>
      </c>
      <c r="X45" s="517">
        <f t="shared" si="35"/>
        <v>0</v>
      </c>
      <c r="Y45" s="517">
        <f t="shared" si="35"/>
        <v>0</v>
      </c>
      <c r="Z45" s="517">
        <f t="shared" si="35"/>
        <v>0</v>
      </c>
      <c r="AA45" s="517">
        <f t="shared" si="36"/>
        <v>0</v>
      </c>
      <c r="AB45" s="517">
        <f t="shared" si="36"/>
        <v>0</v>
      </c>
      <c r="AC45" s="517">
        <f t="shared" si="36"/>
        <v>0</v>
      </c>
      <c r="AD45" s="517">
        <f t="shared" si="36"/>
        <v>0</v>
      </c>
      <c r="AE45" s="517">
        <f t="shared" si="36"/>
        <v>0</v>
      </c>
      <c r="AF45" s="517">
        <f t="shared" si="36"/>
        <v>0</v>
      </c>
      <c r="AG45" s="517">
        <f t="shared" si="36"/>
        <v>0</v>
      </c>
      <c r="AH45" s="517">
        <f t="shared" si="36"/>
        <v>0</v>
      </c>
      <c r="AI45" s="517">
        <f t="shared" si="36"/>
        <v>0</v>
      </c>
      <c r="AJ45" s="517">
        <f t="shared" si="36"/>
        <v>0</v>
      </c>
      <c r="AK45" s="517">
        <f t="shared" si="37"/>
        <v>0</v>
      </c>
      <c r="AL45" s="517">
        <f t="shared" si="37"/>
        <v>0</v>
      </c>
      <c r="AM45" s="517">
        <f t="shared" si="37"/>
        <v>0</v>
      </c>
      <c r="AN45" s="517">
        <f t="shared" si="37"/>
        <v>0</v>
      </c>
      <c r="AO45" s="517">
        <f t="shared" si="37"/>
        <v>0</v>
      </c>
      <c r="AP45" s="517">
        <f t="shared" si="37"/>
        <v>0</v>
      </c>
      <c r="AQ45" s="517">
        <f t="shared" si="37"/>
        <v>0</v>
      </c>
      <c r="AR45" s="517">
        <f t="shared" si="37"/>
        <v>0</v>
      </c>
      <c r="AS45" s="517">
        <f t="shared" si="37"/>
        <v>0</v>
      </c>
      <c r="AT45" s="517">
        <f t="shared" si="37"/>
        <v>0</v>
      </c>
      <c r="AU45" s="517">
        <f t="shared" si="38"/>
        <v>0</v>
      </c>
      <c r="AV45" s="517">
        <f t="shared" si="38"/>
        <v>0</v>
      </c>
      <c r="AW45" s="517">
        <f t="shared" si="38"/>
        <v>0</v>
      </c>
      <c r="AX45" s="517">
        <f t="shared" si="38"/>
        <v>0</v>
      </c>
      <c r="AY45" s="517">
        <f t="shared" si="38"/>
        <v>0</v>
      </c>
      <c r="AZ45" s="517">
        <f t="shared" si="38"/>
        <v>0</v>
      </c>
      <c r="BA45" s="517">
        <f t="shared" si="38"/>
        <v>0</v>
      </c>
      <c r="BB45" s="517">
        <f t="shared" si="38"/>
        <v>0</v>
      </c>
      <c r="BC45" s="517">
        <f t="shared" si="38"/>
        <v>0</v>
      </c>
      <c r="BD45" s="517">
        <f t="shared" si="38"/>
        <v>0</v>
      </c>
      <c r="BE45" s="534">
        <f>SUM(טבלה3540[[#This Row],[1]:[50]])</f>
        <v>0</v>
      </c>
      <c r="BF45" s="534">
        <f>CEILING(טבלה3540[[#This Row],[סה"כ]],1000)/1000</f>
        <v>0</v>
      </c>
      <c r="BG45" s="581" t="str">
        <f>טבלה3540[[#This Row],[פרודוקטים]]</f>
        <v>פלפל</v>
      </c>
      <c r="BJ45" s="531"/>
      <c r="BK45" s="531"/>
      <c r="BL45" s="531"/>
    </row>
    <row r="46" spans="1:65">
      <c r="A46" s="518" t="s">
        <v>1012</v>
      </c>
      <c r="B46" s="518" t="s">
        <v>574</v>
      </c>
      <c r="C46" s="518" t="s">
        <v>32</v>
      </c>
      <c r="D46" s="609" t="s">
        <v>729</v>
      </c>
      <c r="E46" s="609"/>
      <c r="F46" s="522">
        <v>1.2</v>
      </c>
      <c r="G46" s="517">
        <f t="shared" ref="G46:P49" si="39">ROUNDUP($F46*G$2,0)</f>
        <v>0</v>
      </c>
      <c r="H46" s="517">
        <f t="shared" si="39"/>
        <v>0</v>
      </c>
      <c r="I46" s="517">
        <f t="shared" si="39"/>
        <v>0</v>
      </c>
      <c r="J46" s="517">
        <f t="shared" si="39"/>
        <v>0</v>
      </c>
      <c r="K46" s="517">
        <f t="shared" si="39"/>
        <v>0</v>
      </c>
      <c r="L46" s="517">
        <f t="shared" si="39"/>
        <v>0</v>
      </c>
      <c r="M46" s="517">
        <f t="shared" si="39"/>
        <v>0</v>
      </c>
      <c r="N46" s="517">
        <f t="shared" si="39"/>
        <v>0</v>
      </c>
      <c r="O46" s="517">
        <f t="shared" si="39"/>
        <v>0</v>
      </c>
      <c r="P46" s="517">
        <f t="shared" si="39"/>
        <v>0</v>
      </c>
      <c r="Q46" s="517">
        <f t="shared" ref="Q46:Z49" si="40">ROUNDUP($F46*Q$2,0)</f>
        <v>0</v>
      </c>
      <c r="R46" s="517">
        <f t="shared" si="40"/>
        <v>0</v>
      </c>
      <c r="S46" s="517">
        <f t="shared" si="40"/>
        <v>0</v>
      </c>
      <c r="T46" s="517">
        <f t="shared" si="40"/>
        <v>0</v>
      </c>
      <c r="U46" s="517">
        <f t="shared" si="40"/>
        <v>0</v>
      </c>
      <c r="V46" s="517">
        <f t="shared" si="40"/>
        <v>0</v>
      </c>
      <c r="W46" s="517">
        <f t="shared" si="40"/>
        <v>0</v>
      </c>
      <c r="X46" s="517">
        <f t="shared" si="40"/>
        <v>0</v>
      </c>
      <c r="Y46" s="517">
        <f t="shared" si="40"/>
        <v>0</v>
      </c>
      <c r="Z46" s="517">
        <f t="shared" si="40"/>
        <v>0</v>
      </c>
      <c r="AA46" s="517">
        <f t="shared" ref="AA46:AJ49" si="41">ROUNDUP($F46*AA$2,0)</f>
        <v>0</v>
      </c>
      <c r="AB46" s="517">
        <f t="shared" si="41"/>
        <v>0</v>
      </c>
      <c r="AC46" s="517">
        <f t="shared" si="41"/>
        <v>0</v>
      </c>
      <c r="AD46" s="517">
        <f t="shared" si="41"/>
        <v>0</v>
      </c>
      <c r="AE46" s="517">
        <f t="shared" si="41"/>
        <v>0</v>
      </c>
      <c r="AF46" s="517">
        <f t="shared" si="41"/>
        <v>0</v>
      </c>
      <c r="AG46" s="517">
        <f t="shared" si="41"/>
        <v>0</v>
      </c>
      <c r="AH46" s="517">
        <f t="shared" si="41"/>
        <v>0</v>
      </c>
      <c r="AI46" s="517">
        <f t="shared" si="41"/>
        <v>0</v>
      </c>
      <c r="AJ46" s="517">
        <f t="shared" si="41"/>
        <v>0</v>
      </c>
      <c r="AK46" s="517">
        <f t="shared" ref="AK46:AT49" si="42">ROUNDUP($F46*AK$2,0)</f>
        <v>0</v>
      </c>
      <c r="AL46" s="517">
        <f t="shared" si="42"/>
        <v>0</v>
      </c>
      <c r="AM46" s="517">
        <f t="shared" si="42"/>
        <v>0</v>
      </c>
      <c r="AN46" s="517">
        <f t="shared" si="42"/>
        <v>0</v>
      </c>
      <c r="AO46" s="517">
        <f t="shared" si="42"/>
        <v>0</v>
      </c>
      <c r="AP46" s="517">
        <f t="shared" si="42"/>
        <v>0</v>
      </c>
      <c r="AQ46" s="517">
        <f t="shared" si="42"/>
        <v>0</v>
      </c>
      <c r="AR46" s="517">
        <f t="shared" si="42"/>
        <v>0</v>
      </c>
      <c r="AS46" s="517">
        <f t="shared" si="42"/>
        <v>0</v>
      </c>
      <c r="AT46" s="517">
        <f t="shared" si="42"/>
        <v>0</v>
      </c>
      <c r="AU46" s="517">
        <f t="shared" ref="AU46:BD49" si="43">ROUNDUP($F46*AU$2,0)</f>
        <v>0</v>
      </c>
      <c r="AV46" s="517">
        <f t="shared" si="43"/>
        <v>0</v>
      </c>
      <c r="AW46" s="517">
        <f t="shared" si="43"/>
        <v>0</v>
      </c>
      <c r="AX46" s="517">
        <f t="shared" si="43"/>
        <v>0</v>
      </c>
      <c r="AY46" s="517">
        <f t="shared" si="43"/>
        <v>0</v>
      </c>
      <c r="AZ46" s="517">
        <f t="shared" si="43"/>
        <v>0</v>
      </c>
      <c r="BA46" s="517">
        <f t="shared" si="43"/>
        <v>0</v>
      </c>
      <c r="BB46" s="517">
        <f t="shared" si="43"/>
        <v>0</v>
      </c>
      <c r="BC46" s="517">
        <f t="shared" si="43"/>
        <v>0</v>
      </c>
      <c r="BD46" s="517">
        <f t="shared" si="43"/>
        <v>0</v>
      </c>
      <c r="BE46" s="534">
        <f>SUM(טבלה3540[[#This Row],[1]:[50]])</f>
        <v>0</v>
      </c>
      <c r="BF46" s="534">
        <f>CEILING(טבלה3540[[#This Row],[סה"כ]],100)</f>
        <v>0</v>
      </c>
      <c r="BG46" s="581" t="str">
        <f>טבלה3540[[#This Row],[פרודוקטים]]</f>
        <v>סכין</v>
      </c>
      <c r="BL46" s="531"/>
    </row>
    <row r="47" spans="1:65">
      <c r="A47" s="518" t="s">
        <v>1012</v>
      </c>
      <c r="B47" s="518" t="s">
        <v>575</v>
      </c>
      <c r="C47" s="518" t="s">
        <v>33</v>
      </c>
      <c r="D47" s="609" t="s">
        <v>729</v>
      </c>
      <c r="E47" s="609"/>
      <c r="F47" s="522">
        <v>1.2</v>
      </c>
      <c r="G47" s="517">
        <f t="shared" si="39"/>
        <v>0</v>
      </c>
      <c r="H47" s="517">
        <f t="shared" si="39"/>
        <v>0</v>
      </c>
      <c r="I47" s="517">
        <f t="shared" si="39"/>
        <v>0</v>
      </c>
      <c r="J47" s="517">
        <f t="shared" si="39"/>
        <v>0</v>
      </c>
      <c r="K47" s="517">
        <f t="shared" si="39"/>
        <v>0</v>
      </c>
      <c r="L47" s="517">
        <f t="shared" si="39"/>
        <v>0</v>
      </c>
      <c r="M47" s="517">
        <f t="shared" si="39"/>
        <v>0</v>
      </c>
      <c r="N47" s="517">
        <f t="shared" si="39"/>
        <v>0</v>
      </c>
      <c r="O47" s="517">
        <f t="shared" si="39"/>
        <v>0</v>
      </c>
      <c r="P47" s="517">
        <f t="shared" si="39"/>
        <v>0</v>
      </c>
      <c r="Q47" s="517">
        <f t="shared" si="40"/>
        <v>0</v>
      </c>
      <c r="R47" s="517">
        <f t="shared" si="40"/>
        <v>0</v>
      </c>
      <c r="S47" s="517">
        <f t="shared" si="40"/>
        <v>0</v>
      </c>
      <c r="T47" s="517">
        <f t="shared" si="40"/>
        <v>0</v>
      </c>
      <c r="U47" s="517">
        <f t="shared" si="40"/>
        <v>0</v>
      </c>
      <c r="V47" s="517">
        <f t="shared" si="40"/>
        <v>0</v>
      </c>
      <c r="W47" s="517">
        <f t="shared" si="40"/>
        <v>0</v>
      </c>
      <c r="X47" s="517">
        <f t="shared" si="40"/>
        <v>0</v>
      </c>
      <c r="Y47" s="517">
        <f t="shared" si="40"/>
        <v>0</v>
      </c>
      <c r="Z47" s="517">
        <f t="shared" si="40"/>
        <v>0</v>
      </c>
      <c r="AA47" s="517">
        <f t="shared" si="41"/>
        <v>0</v>
      </c>
      <c r="AB47" s="517">
        <f t="shared" si="41"/>
        <v>0</v>
      </c>
      <c r="AC47" s="517">
        <f t="shared" si="41"/>
        <v>0</v>
      </c>
      <c r="AD47" s="517">
        <f t="shared" si="41"/>
        <v>0</v>
      </c>
      <c r="AE47" s="517">
        <f t="shared" si="41"/>
        <v>0</v>
      </c>
      <c r="AF47" s="517">
        <f t="shared" si="41"/>
        <v>0</v>
      </c>
      <c r="AG47" s="517">
        <f t="shared" si="41"/>
        <v>0</v>
      </c>
      <c r="AH47" s="517">
        <f t="shared" si="41"/>
        <v>0</v>
      </c>
      <c r="AI47" s="517">
        <f t="shared" si="41"/>
        <v>0</v>
      </c>
      <c r="AJ47" s="517">
        <f t="shared" si="41"/>
        <v>0</v>
      </c>
      <c r="AK47" s="517">
        <f t="shared" si="42"/>
        <v>0</v>
      </c>
      <c r="AL47" s="517">
        <f t="shared" si="42"/>
        <v>0</v>
      </c>
      <c r="AM47" s="517">
        <f t="shared" si="42"/>
        <v>0</v>
      </c>
      <c r="AN47" s="517">
        <f t="shared" si="42"/>
        <v>0</v>
      </c>
      <c r="AO47" s="517">
        <f t="shared" si="42"/>
        <v>0</v>
      </c>
      <c r="AP47" s="517">
        <f t="shared" si="42"/>
        <v>0</v>
      </c>
      <c r="AQ47" s="517">
        <f t="shared" si="42"/>
        <v>0</v>
      </c>
      <c r="AR47" s="517">
        <f t="shared" si="42"/>
        <v>0</v>
      </c>
      <c r="AS47" s="517">
        <f t="shared" si="42"/>
        <v>0</v>
      </c>
      <c r="AT47" s="517">
        <f t="shared" si="42"/>
        <v>0</v>
      </c>
      <c r="AU47" s="517">
        <f t="shared" si="43"/>
        <v>0</v>
      </c>
      <c r="AV47" s="517">
        <f t="shared" si="43"/>
        <v>0</v>
      </c>
      <c r="AW47" s="517">
        <f t="shared" si="43"/>
        <v>0</v>
      </c>
      <c r="AX47" s="517">
        <f t="shared" si="43"/>
        <v>0</v>
      </c>
      <c r="AY47" s="517">
        <f t="shared" si="43"/>
        <v>0</v>
      </c>
      <c r="AZ47" s="517">
        <f t="shared" si="43"/>
        <v>0</v>
      </c>
      <c r="BA47" s="517">
        <f t="shared" si="43"/>
        <v>0</v>
      </c>
      <c r="BB47" s="517">
        <f t="shared" si="43"/>
        <v>0</v>
      </c>
      <c r="BC47" s="517">
        <f t="shared" si="43"/>
        <v>0</v>
      </c>
      <c r="BD47" s="517">
        <f t="shared" si="43"/>
        <v>0</v>
      </c>
      <c r="BE47" s="534">
        <f>SUM(טבלה3540[[#This Row],[1]:[50]])</f>
        <v>0</v>
      </c>
      <c r="BF47" s="534">
        <f>CEILING(טבלה3540[[#This Row],[סה"כ]],100)</f>
        <v>0</v>
      </c>
      <c r="BG47" s="581" t="str">
        <f>טבלה3540[[#This Row],[פרודוקטים]]</f>
        <v>מזלג</v>
      </c>
      <c r="BK47" s="531"/>
      <c r="BL47" s="531"/>
    </row>
    <row r="48" spans="1:65">
      <c r="A48" s="518" t="s">
        <v>1012</v>
      </c>
      <c r="B48" s="518" t="s">
        <v>570</v>
      </c>
      <c r="C48" s="518" t="s">
        <v>29</v>
      </c>
      <c r="D48" s="609" t="s">
        <v>729</v>
      </c>
      <c r="E48" s="609"/>
      <c r="F48" s="522">
        <v>1.2</v>
      </c>
      <c r="G48" s="517">
        <f t="shared" si="39"/>
        <v>0</v>
      </c>
      <c r="H48" s="517">
        <f t="shared" si="39"/>
        <v>0</v>
      </c>
      <c r="I48" s="517">
        <f t="shared" si="39"/>
        <v>0</v>
      </c>
      <c r="J48" s="517">
        <f t="shared" si="39"/>
        <v>0</v>
      </c>
      <c r="K48" s="517">
        <f t="shared" si="39"/>
        <v>0</v>
      </c>
      <c r="L48" s="517">
        <f t="shared" si="39"/>
        <v>0</v>
      </c>
      <c r="M48" s="517">
        <f t="shared" si="39"/>
        <v>0</v>
      </c>
      <c r="N48" s="517">
        <f t="shared" si="39"/>
        <v>0</v>
      </c>
      <c r="O48" s="517">
        <f t="shared" si="39"/>
        <v>0</v>
      </c>
      <c r="P48" s="517">
        <f t="shared" si="39"/>
        <v>0</v>
      </c>
      <c r="Q48" s="517">
        <f t="shared" si="40"/>
        <v>0</v>
      </c>
      <c r="R48" s="517">
        <f t="shared" si="40"/>
        <v>0</v>
      </c>
      <c r="S48" s="517">
        <f t="shared" si="40"/>
        <v>0</v>
      </c>
      <c r="T48" s="517">
        <f t="shared" si="40"/>
        <v>0</v>
      </c>
      <c r="U48" s="517">
        <f t="shared" si="40"/>
        <v>0</v>
      </c>
      <c r="V48" s="517">
        <f t="shared" si="40"/>
        <v>0</v>
      </c>
      <c r="W48" s="517">
        <f t="shared" si="40"/>
        <v>0</v>
      </c>
      <c r="X48" s="517">
        <f t="shared" si="40"/>
        <v>0</v>
      </c>
      <c r="Y48" s="517">
        <f t="shared" si="40"/>
        <v>0</v>
      </c>
      <c r="Z48" s="517">
        <f t="shared" si="40"/>
        <v>0</v>
      </c>
      <c r="AA48" s="517">
        <f t="shared" si="41"/>
        <v>0</v>
      </c>
      <c r="AB48" s="517">
        <f t="shared" si="41"/>
        <v>0</v>
      </c>
      <c r="AC48" s="517">
        <f t="shared" si="41"/>
        <v>0</v>
      </c>
      <c r="AD48" s="517">
        <f t="shared" si="41"/>
        <v>0</v>
      </c>
      <c r="AE48" s="517">
        <f t="shared" si="41"/>
        <v>0</v>
      </c>
      <c r="AF48" s="517">
        <f t="shared" si="41"/>
        <v>0</v>
      </c>
      <c r="AG48" s="517">
        <f t="shared" si="41"/>
        <v>0</v>
      </c>
      <c r="AH48" s="517">
        <f t="shared" si="41"/>
        <v>0</v>
      </c>
      <c r="AI48" s="517">
        <f t="shared" si="41"/>
        <v>0</v>
      </c>
      <c r="AJ48" s="517">
        <f t="shared" si="41"/>
        <v>0</v>
      </c>
      <c r="AK48" s="517">
        <f t="shared" si="42"/>
        <v>0</v>
      </c>
      <c r="AL48" s="517">
        <f t="shared" si="42"/>
        <v>0</v>
      </c>
      <c r="AM48" s="517">
        <f t="shared" si="42"/>
        <v>0</v>
      </c>
      <c r="AN48" s="517">
        <f t="shared" si="42"/>
        <v>0</v>
      </c>
      <c r="AO48" s="517">
        <f t="shared" si="42"/>
        <v>0</v>
      </c>
      <c r="AP48" s="517">
        <f t="shared" si="42"/>
        <v>0</v>
      </c>
      <c r="AQ48" s="517">
        <f t="shared" si="42"/>
        <v>0</v>
      </c>
      <c r="AR48" s="517">
        <f t="shared" si="42"/>
        <v>0</v>
      </c>
      <c r="AS48" s="517">
        <f t="shared" si="42"/>
        <v>0</v>
      </c>
      <c r="AT48" s="517">
        <f t="shared" si="42"/>
        <v>0</v>
      </c>
      <c r="AU48" s="517">
        <f t="shared" si="43"/>
        <v>0</v>
      </c>
      <c r="AV48" s="517">
        <f t="shared" si="43"/>
        <v>0</v>
      </c>
      <c r="AW48" s="517">
        <f t="shared" si="43"/>
        <v>0</v>
      </c>
      <c r="AX48" s="517">
        <f t="shared" si="43"/>
        <v>0</v>
      </c>
      <c r="AY48" s="517">
        <f t="shared" si="43"/>
        <v>0</v>
      </c>
      <c r="AZ48" s="517">
        <f t="shared" si="43"/>
        <v>0</v>
      </c>
      <c r="BA48" s="517">
        <f t="shared" si="43"/>
        <v>0</v>
      </c>
      <c r="BB48" s="517">
        <f t="shared" si="43"/>
        <v>0</v>
      </c>
      <c r="BC48" s="517">
        <f t="shared" si="43"/>
        <v>0</v>
      </c>
      <c r="BD48" s="517">
        <f t="shared" si="43"/>
        <v>0</v>
      </c>
      <c r="BE48" s="534">
        <f>SUM(טבלה3540[[#This Row],[1]:[50]])</f>
        <v>0</v>
      </c>
      <c r="BF48" s="534">
        <f>CEILING(טבלה3540[[#This Row],[סה"כ]],25)</f>
        <v>0</v>
      </c>
      <c r="BG48" s="581" t="str">
        <f>טבלה3540[[#This Row],[פרודוקטים]]</f>
        <v>צלחת אוכל חם</v>
      </c>
    </row>
    <row r="49" spans="1:65" ht="15.75" customHeight="1">
      <c r="A49" s="518" t="s">
        <v>1012</v>
      </c>
      <c r="B49" s="518" t="s">
        <v>577</v>
      </c>
      <c r="C49" s="518" t="s">
        <v>34</v>
      </c>
      <c r="D49" s="530" t="s">
        <v>700</v>
      </c>
      <c r="E49" s="530"/>
      <c r="F49" s="523">
        <f>2/30</f>
        <v>6.6666666666666666E-2</v>
      </c>
      <c r="G49" s="517">
        <f t="shared" si="39"/>
        <v>0</v>
      </c>
      <c r="H49" s="517">
        <f t="shared" si="39"/>
        <v>0</v>
      </c>
      <c r="I49" s="517">
        <f t="shared" si="39"/>
        <v>0</v>
      </c>
      <c r="J49" s="517">
        <f t="shared" si="39"/>
        <v>0</v>
      </c>
      <c r="K49" s="517">
        <f t="shared" si="39"/>
        <v>0</v>
      </c>
      <c r="L49" s="517">
        <f t="shared" si="39"/>
        <v>0</v>
      </c>
      <c r="M49" s="517">
        <f t="shared" si="39"/>
        <v>0</v>
      </c>
      <c r="N49" s="517">
        <f t="shared" si="39"/>
        <v>0</v>
      </c>
      <c r="O49" s="517">
        <f t="shared" si="39"/>
        <v>0</v>
      </c>
      <c r="P49" s="517">
        <f t="shared" si="39"/>
        <v>0</v>
      </c>
      <c r="Q49" s="517">
        <f t="shared" si="40"/>
        <v>0</v>
      </c>
      <c r="R49" s="517">
        <f t="shared" si="40"/>
        <v>0</v>
      </c>
      <c r="S49" s="517">
        <f t="shared" si="40"/>
        <v>0</v>
      </c>
      <c r="T49" s="517">
        <f t="shared" si="40"/>
        <v>0</v>
      </c>
      <c r="U49" s="517">
        <f t="shared" si="40"/>
        <v>0</v>
      </c>
      <c r="V49" s="517">
        <f t="shared" si="40"/>
        <v>0</v>
      </c>
      <c r="W49" s="517">
        <f t="shared" si="40"/>
        <v>0</v>
      </c>
      <c r="X49" s="517">
        <f t="shared" si="40"/>
        <v>0</v>
      </c>
      <c r="Y49" s="517">
        <f t="shared" si="40"/>
        <v>0</v>
      </c>
      <c r="Z49" s="517">
        <f t="shared" si="40"/>
        <v>0</v>
      </c>
      <c r="AA49" s="517">
        <f t="shared" si="41"/>
        <v>0</v>
      </c>
      <c r="AB49" s="517">
        <f t="shared" si="41"/>
        <v>0</v>
      </c>
      <c r="AC49" s="517">
        <f t="shared" si="41"/>
        <v>0</v>
      </c>
      <c r="AD49" s="517">
        <f t="shared" si="41"/>
        <v>0</v>
      </c>
      <c r="AE49" s="517">
        <f t="shared" si="41"/>
        <v>0</v>
      </c>
      <c r="AF49" s="517">
        <f t="shared" si="41"/>
        <v>0</v>
      </c>
      <c r="AG49" s="517">
        <f t="shared" si="41"/>
        <v>0</v>
      </c>
      <c r="AH49" s="517">
        <f t="shared" si="41"/>
        <v>0</v>
      </c>
      <c r="AI49" s="517">
        <f t="shared" si="41"/>
        <v>0</v>
      </c>
      <c r="AJ49" s="517">
        <f t="shared" si="41"/>
        <v>0</v>
      </c>
      <c r="AK49" s="517">
        <f t="shared" si="42"/>
        <v>0</v>
      </c>
      <c r="AL49" s="517">
        <f t="shared" si="42"/>
        <v>0</v>
      </c>
      <c r="AM49" s="517">
        <f t="shared" si="42"/>
        <v>0</v>
      </c>
      <c r="AN49" s="517">
        <f t="shared" si="42"/>
        <v>0</v>
      </c>
      <c r="AO49" s="517">
        <f t="shared" si="42"/>
        <v>0</v>
      </c>
      <c r="AP49" s="517">
        <f t="shared" si="42"/>
        <v>0</v>
      </c>
      <c r="AQ49" s="517">
        <f t="shared" si="42"/>
        <v>0</v>
      </c>
      <c r="AR49" s="517">
        <f t="shared" si="42"/>
        <v>0</v>
      </c>
      <c r="AS49" s="517">
        <f t="shared" si="42"/>
        <v>0</v>
      </c>
      <c r="AT49" s="517">
        <f t="shared" si="42"/>
        <v>0</v>
      </c>
      <c r="AU49" s="517">
        <f t="shared" si="43"/>
        <v>0</v>
      </c>
      <c r="AV49" s="517">
        <f t="shared" si="43"/>
        <v>0</v>
      </c>
      <c r="AW49" s="517">
        <f t="shared" si="43"/>
        <v>0</v>
      </c>
      <c r="AX49" s="517">
        <f t="shared" si="43"/>
        <v>0</v>
      </c>
      <c r="AY49" s="517">
        <f t="shared" si="43"/>
        <v>0</v>
      </c>
      <c r="AZ49" s="517">
        <f t="shared" si="43"/>
        <v>0</v>
      </c>
      <c r="BA49" s="517">
        <f t="shared" si="43"/>
        <v>0</v>
      </c>
      <c r="BB49" s="517">
        <f t="shared" si="43"/>
        <v>0</v>
      </c>
      <c r="BC49" s="517">
        <f t="shared" si="43"/>
        <v>0</v>
      </c>
      <c r="BD49" s="517">
        <f t="shared" si="43"/>
        <v>0</v>
      </c>
      <c r="BE49" s="534">
        <f>SUM(טבלה3540[[#This Row],[1]:[50]])</f>
        <v>0</v>
      </c>
      <c r="BF49" s="534">
        <f>CEILING(טבלה3540[[#This Row],[סה"כ]],25)</f>
        <v>0</v>
      </c>
      <c r="BG49" s="581" t="str">
        <f>טבלה3540[[#This Row],[פרודוקטים]]</f>
        <v>שקית זבל</v>
      </c>
    </row>
    <row r="50" spans="1:65">
      <c r="A50" s="518" t="s">
        <v>1012</v>
      </c>
      <c r="B50" s="518" t="s">
        <v>578</v>
      </c>
      <c r="C50" s="518" t="s">
        <v>35</v>
      </c>
      <c r="D50" s="530" t="s">
        <v>691</v>
      </c>
      <c r="E50" s="530"/>
      <c r="F50" s="523">
        <v>8</v>
      </c>
      <c r="G50" s="517">
        <f t="shared" ref="G50:P51" si="44">IF(G$2&gt;0,$F50,0)</f>
        <v>0</v>
      </c>
      <c r="H50" s="517">
        <f t="shared" si="44"/>
        <v>0</v>
      </c>
      <c r="I50" s="517">
        <f t="shared" si="44"/>
        <v>0</v>
      </c>
      <c r="J50" s="517">
        <f t="shared" si="44"/>
        <v>0</v>
      </c>
      <c r="K50" s="517">
        <f t="shared" si="44"/>
        <v>0</v>
      </c>
      <c r="L50" s="517">
        <f t="shared" si="44"/>
        <v>0</v>
      </c>
      <c r="M50" s="517">
        <f t="shared" si="44"/>
        <v>0</v>
      </c>
      <c r="N50" s="517">
        <f t="shared" si="44"/>
        <v>0</v>
      </c>
      <c r="O50" s="517">
        <f t="shared" si="44"/>
        <v>0</v>
      </c>
      <c r="P50" s="517">
        <f t="shared" si="44"/>
        <v>0</v>
      </c>
      <c r="Q50" s="517">
        <f t="shared" ref="Q50:Z51" si="45">IF(Q$2&gt;0,$F50,0)</f>
        <v>0</v>
      </c>
      <c r="R50" s="517">
        <f t="shared" si="45"/>
        <v>0</v>
      </c>
      <c r="S50" s="517">
        <f t="shared" si="45"/>
        <v>0</v>
      </c>
      <c r="T50" s="517">
        <f t="shared" si="45"/>
        <v>0</v>
      </c>
      <c r="U50" s="517">
        <f t="shared" si="45"/>
        <v>0</v>
      </c>
      <c r="V50" s="517">
        <f t="shared" si="45"/>
        <v>0</v>
      </c>
      <c r="W50" s="517">
        <f t="shared" si="45"/>
        <v>0</v>
      </c>
      <c r="X50" s="517">
        <f t="shared" si="45"/>
        <v>0</v>
      </c>
      <c r="Y50" s="517">
        <f t="shared" si="45"/>
        <v>0</v>
      </c>
      <c r="Z50" s="517">
        <f t="shared" si="45"/>
        <v>0</v>
      </c>
      <c r="AA50" s="517">
        <f t="shared" ref="AA50:AJ51" si="46">IF(AA$2&gt;0,$F50,0)</f>
        <v>0</v>
      </c>
      <c r="AB50" s="517">
        <f t="shared" si="46"/>
        <v>0</v>
      </c>
      <c r="AC50" s="517">
        <f t="shared" si="46"/>
        <v>0</v>
      </c>
      <c r="AD50" s="517">
        <f t="shared" si="46"/>
        <v>0</v>
      </c>
      <c r="AE50" s="517">
        <f t="shared" si="46"/>
        <v>0</v>
      </c>
      <c r="AF50" s="517">
        <f t="shared" si="46"/>
        <v>0</v>
      </c>
      <c r="AG50" s="517">
        <f t="shared" si="46"/>
        <v>0</v>
      </c>
      <c r="AH50" s="517">
        <f t="shared" si="46"/>
        <v>0</v>
      </c>
      <c r="AI50" s="517">
        <f t="shared" si="46"/>
        <v>0</v>
      </c>
      <c r="AJ50" s="517">
        <f t="shared" si="46"/>
        <v>0</v>
      </c>
      <c r="AK50" s="517">
        <f t="shared" ref="AK50:AT51" si="47">IF(AK$2&gt;0,$F50,0)</f>
        <v>0</v>
      </c>
      <c r="AL50" s="517">
        <f t="shared" si="47"/>
        <v>0</v>
      </c>
      <c r="AM50" s="517">
        <f t="shared" si="47"/>
        <v>0</v>
      </c>
      <c r="AN50" s="517">
        <f t="shared" si="47"/>
        <v>0</v>
      </c>
      <c r="AO50" s="517">
        <f t="shared" si="47"/>
        <v>0</v>
      </c>
      <c r="AP50" s="517">
        <f t="shared" si="47"/>
        <v>0</v>
      </c>
      <c r="AQ50" s="517">
        <f t="shared" si="47"/>
        <v>0</v>
      </c>
      <c r="AR50" s="517">
        <f t="shared" si="47"/>
        <v>0</v>
      </c>
      <c r="AS50" s="517">
        <f t="shared" si="47"/>
        <v>0</v>
      </c>
      <c r="AT50" s="517">
        <f t="shared" si="47"/>
        <v>0</v>
      </c>
      <c r="AU50" s="517">
        <f t="shared" ref="AU50:BD51" si="48">IF(AU$2&gt;0,$F50,0)</f>
        <v>0</v>
      </c>
      <c r="AV50" s="517">
        <f t="shared" si="48"/>
        <v>0</v>
      </c>
      <c r="AW50" s="517">
        <f t="shared" si="48"/>
        <v>0</v>
      </c>
      <c r="AX50" s="517">
        <f t="shared" si="48"/>
        <v>0</v>
      </c>
      <c r="AY50" s="517">
        <f t="shared" si="48"/>
        <v>0</v>
      </c>
      <c r="AZ50" s="517">
        <f t="shared" si="48"/>
        <v>0</v>
      </c>
      <c r="BA50" s="517">
        <f t="shared" si="48"/>
        <v>0</v>
      </c>
      <c r="BB50" s="517">
        <f t="shared" si="48"/>
        <v>0</v>
      </c>
      <c r="BC50" s="517">
        <f t="shared" si="48"/>
        <v>0</v>
      </c>
      <c r="BD50" s="517">
        <f t="shared" si="48"/>
        <v>0</v>
      </c>
      <c r="BE50" s="534">
        <f>SUM(טבלה3540[[#This Row],[1]:[50]])</f>
        <v>0</v>
      </c>
      <c r="BF50" s="534">
        <f>CEILING(טבלה3540[[#This Row],[סה"כ]],25)</f>
        <v>0</v>
      </c>
      <c r="BG50" s="581" t="str">
        <f>טבלה3540[[#This Row],[פרודוקטים]]</f>
        <v>שקית גופיה</v>
      </c>
    </row>
    <row r="51" spans="1:65">
      <c r="A51" s="518" t="s">
        <v>1012</v>
      </c>
      <c r="B51" s="518" t="s">
        <v>580</v>
      </c>
      <c r="C51" s="518" t="s">
        <v>37</v>
      </c>
      <c r="D51" s="609" t="s">
        <v>921</v>
      </c>
      <c r="E51" s="609"/>
      <c r="F51" s="522">
        <v>1</v>
      </c>
      <c r="G51" s="517">
        <f t="shared" si="44"/>
        <v>0</v>
      </c>
      <c r="H51" s="517">
        <f t="shared" si="44"/>
        <v>0</v>
      </c>
      <c r="I51" s="517">
        <f t="shared" si="44"/>
        <v>0</v>
      </c>
      <c r="J51" s="517">
        <f t="shared" si="44"/>
        <v>0</v>
      </c>
      <c r="K51" s="517">
        <f t="shared" si="44"/>
        <v>0</v>
      </c>
      <c r="L51" s="517">
        <f t="shared" si="44"/>
        <v>0</v>
      </c>
      <c r="M51" s="517">
        <f t="shared" si="44"/>
        <v>0</v>
      </c>
      <c r="N51" s="517">
        <f t="shared" si="44"/>
        <v>0</v>
      </c>
      <c r="O51" s="517">
        <f t="shared" si="44"/>
        <v>0</v>
      </c>
      <c r="P51" s="517">
        <f t="shared" si="44"/>
        <v>0</v>
      </c>
      <c r="Q51" s="517">
        <f t="shared" si="45"/>
        <v>0</v>
      </c>
      <c r="R51" s="517">
        <f t="shared" si="45"/>
        <v>0</v>
      </c>
      <c r="S51" s="517">
        <f t="shared" si="45"/>
        <v>0</v>
      </c>
      <c r="T51" s="517">
        <f t="shared" si="45"/>
        <v>0</v>
      </c>
      <c r="U51" s="517">
        <f t="shared" si="45"/>
        <v>0</v>
      </c>
      <c r="V51" s="517">
        <f t="shared" si="45"/>
        <v>0</v>
      </c>
      <c r="W51" s="517">
        <f t="shared" si="45"/>
        <v>0</v>
      </c>
      <c r="X51" s="517">
        <f t="shared" si="45"/>
        <v>0</v>
      </c>
      <c r="Y51" s="517">
        <f t="shared" si="45"/>
        <v>0</v>
      </c>
      <c r="Z51" s="517">
        <f t="shared" si="45"/>
        <v>0</v>
      </c>
      <c r="AA51" s="517">
        <f t="shared" si="46"/>
        <v>0</v>
      </c>
      <c r="AB51" s="517">
        <f t="shared" si="46"/>
        <v>0</v>
      </c>
      <c r="AC51" s="517">
        <f t="shared" si="46"/>
        <v>0</v>
      </c>
      <c r="AD51" s="517">
        <f t="shared" si="46"/>
        <v>0</v>
      </c>
      <c r="AE51" s="517">
        <f t="shared" si="46"/>
        <v>0</v>
      </c>
      <c r="AF51" s="517">
        <f t="shared" si="46"/>
        <v>0</v>
      </c>
      <c r="AG51" s="517">
        <f t="shared" si="46"/>
        <v>0</v>
      </c>
      <c r="AH51" s="517">
        <f t="shared" si="46"/>
        <v>0</v>
      </c>
      <c r="AI51" s="517">
        <f t="shared" si="46"/>
        <v>0</v>
      </c>
      <c r="AJ51" s="517">
        <f t="shared" si="46"/>
        <v>0</v>
      </c>
      <c r="AK51" s="517">
        <f t="shared" si="47"/>
        <v>0</v>
      </c>
      <c r="AL51" s="517">
        <f t="shared" si="47"/>
        <v>0</v>
      </c>
      <c r="AM51" s="517">
        <f t="shared" si="47"/>
        <v>0</v>
      </c>
      <c r="AN51" s="517">
        <f t="shared" si="47"/>
        <v>0</v>
      </c>
      <c r="AO51" s="517">
        <f t="shared" si="47"/>
        <v>0</v>
      </c>
      <c r="AP51" s="517">
        <f t="shared" si="47"/>
        <v>0</v>
      </c>
      <c r="AQ51" s="517">
        <f t="shared" si="47"/>
        <v>0</v>
      </c>
      <c r="AR51" s="517">
        <f t="shared" si="47"/>
        <v>0</v>
      </c>
      <c r="AS51" s="517">
        <f t="shared" si="47"/>
        <v>0</v>
      </c>
      <c r="AT51" s="517">
        <f t="shared" si="47"/>
        <v>0</v>
      </c>
      <c r="AU51" s="517">
        <f t="shared" si="48"/>
        <v>0</v>
      </c>
      <c r="AV51" s="517">
        <f t="shared" si="48"/>
        <v>0</v>
      </c>
      <c r="AW51" s="517">
        <f t="shared" si="48"/>
        <v>0</v>
      </c>
      <c r="AX51" s="517">
        <f t="shared" si="48"/>
        <v>0</v>
      </c>
      <c r="AY51" s="517">
        <f t="shared" si="48"/>
        <v>0</v>
      </c>
      <c r="AZ51" s="517">
        <f t="shared" si="48"/>
        <v>0</v>
      </c>
      <c r="BA51" s="517">
        <f t="shared" si="48"/>
        <v>0</v>
      </c>
      <c r="BB51" s="517">
        <f t="shared" si="48"/>
        <v>0</v>
      </c>
      <c r="BC51" s="517">
        <f t="shared" si="48"/>
        <v>0</v>
      </c>
      <c r="BD51" s="517">
        <f t="shared" si="48"/>
        <v>0</v>
      </c>
      <c r="BE51" s="534">
        <f>SUM(טבלה3540[[#This Row],[1]:[50]])</f>
        <v>0</v>
      </c>
      <c r="BF51" s="534">
        <f>טבלה3540[[#This Row],[סה"כ]]</f>
        <v>0</v>
      </c>
      <c r="BG51" s="581" t="str">
        <f>טבלה3540[[#This Row],[פרודוקטים]]</f>
        <v>נייר סופג</v>
      </c>
    </row>
    <row r="52" spans="1:65">
      <c r="D52" s="772"/>
      <c r="E52" s="772"/>
    </row>
    <row r="53" spans="1:65">
      <c r="D53" s="772"/>
      <c r="E53" s="772"/>
    </row>
    <row r="54" spans="1:65">
      <c r="A54" s="518" t="s">
        <v>172</v>
      </c>
      <c r="B54" s="518" t="s">
        <v>487</v>
      </c>
      <c r="C54" s="526" t="s">
        <v>171</v>
      </c>
      <c r="D54" s="527" t="s">
        <v>10</v>
      </c>
      <c r="E54" s="527" t="s">
        <v>488</v>
      </c>
      <c r="F54" s="525" t="s">
        <v>634</v>
      </c>
      <c r="G54" s="528" t="s">
        <v>635</v>
      </c>
      <c r="H54" s="529" t="s">
        <v>636</v>
      </c>
      <c r="I54" s="528" t="s">
        <v>637</v>
      </c>
      <c r="J54" s="529" t="s">
        <v>638</v>
      </c>
      <c r="K54" s="528" t="s">
        <v>639</v>
      </c>
      <c r="L54" s="529" t="s">
        <v>640</v>
      </c>
      <c r="M54" s="528" t="s">
        <v>641</v>
      </c>
      <c r="N54" s="529" t="s">
        <v>642</v>
      </c>
      <c r="O54" s="528" t="s">
        <v>643</v>
      </c>
      <c r="P54" s="529" t="s">
        <v>644</v>
      </c>
      <c r="Q54" s="528" t="s">
        <v>645</v>
      </c>
      <c r="R54" s="529" t="s">
        <v>646</v>
      </c>
      <c r="S54" s="528" t="s">
        <v>647</v>
      </c>
      <c r="T54" s="529" t="s">
        <v>648</v>
      </c>
      <c r="U54" s="528" t="s">
        <v>649</v>
      </c>
      <c r="V54" s="529" t="s">
        <v>650</v>
      </c>
      <c r="W54" s="528" t="s">
        <v>651</v>
      </c>
      <c r="X54" s="529" t="s">
        <v>652</v>
      </c>
      <c r="Y54" s="528" t="s">
        <v>653</v>
      </c>
      <c r="Z54" s="529" t="s">
        <v>654</v>
      </c>
      <c r="AA54" s="528" t="s">
        <v>655</v>
      </c>
      <c r="AB54" s="529" t="s">
        <v>656</v>
      </c>
      <c r="AC54" s="528" t="s">
        <v>657</v>
      </c>
      <c r="AD54" s="529" t="s">
        <v>658</v>
      </c>
      <c r="AE54" s="528" t="s">
        <v>659</v>
      </c>
      <c r="AF54" s="529" t="s">
        <v>660</v>
      </c>
      <c r="AG54" s="528" t="s">
        <v>661</v>
      </c>
      <c r="AH54" s="529" t="s">
        <v>662</v>
      </c>
      <c r="AI54" s="528" t="s">
        <v>698</v>
      </c>
      <c r="AJ54" s="529" t="s">
        <v>663</v>
      </c>
      <c r="AK54" s="528" t="s">
        <v>664</v>
      </c>
      <c r="AL54" s="529" t="s">
        <v>665</v>
      </c>
      <c r="AM54" s="528" t="s">
        <v>666</v>
      </c>
      <c r="AN54" s="529" t="s">
        <v>699</v>
      </c>
      <c r="AO54" s="528" t="s">
        <v>749</v>
      </c>
      <c r="AP54" s="529" t="s">
        <v>750</v>
      </c>
      <c r="AQ54" s="528" t="s">
        <v>751</v>
      </c>
      <c r="AR54" s="529" t="s">
        <v>752</v>
      </c>
      <c r="AS54" s="528" t="s">
        <v>753</v>
      </c>
      <c r="AT54" s="529" t="s">
        <v>754</v>
      </c>
      <c r="AU54" s="528" t="s">
        <v>755</v>
      </c>
      <c r="AV54" s="529" t="s">
        <v>748</v>
      </c>
      <c r="AW54" s="528" t="s">
        <v>756</v>
      </c>
      <c r="AX54" s="529" t="s">
        <v>757</v>
      </c>
      <c r="AY54" s="528" t="s">
        <v>758</v>
      </c>
      <c r="AZ54" s="529" t="s">
        <v>759</v>
      </c>
      <c r="BA54" s="528" t="s">
        <v>760</v>
      </c>
      <c r="BB54" s="529" t="s">
        <v>761</v>
      </c>
      <c r="BC54" s="528" t="s">
        <v>762</v>
      </c>
      <c r="BD54" s="529" t="s">
        <v>763</v>
      </c>
      <c r="BE54" s="528" t="s">
        <v>22</v>
      </c>
      <c r="BF54" s="528" t="s">
        <v>667</v>
      </c>
      <c r="BG54" s="535" t="s">
        <v>16</v>
      </c>
      <c r="BH54" s="536" t="s">
        <v>923</v>
      </c>
    </row>
    <row r="55" spans="1:65">
      <c r="A55" s="518" t="s">
        <v>891</v>
      </c>
      <c r="B55" s="518">
        <v>11318</v>
      </c>
      <c r="C55" s="518" t="s">
        <v>892</v>
      </c>
      <c r="D55" s="639" t="s">
        <v>1013</v>
      </c>
      <c r="E55" s="639"/>
      <c r="F55" s="523">
        <v>150</v>
      </c>
      <c r="G55" s="517">
        <f>ROUNDUP($F55*G$2,0)</f>
        <v>0</v>
      </c>
      <c r="H55" s="517">
        <f t="shared" ref="H55:BD55" si="49">ROUNDUP($F55*H$2,0)</f>
        <v>0</v>
      </c>
      <c r="I55" s="517">
        <f t="shared" si="49"/>
        <v>0</v>
      </c>
      <c r="J55" s="517">
        <f t="shared" si="49"/>
        <v>0</v>
      </c>
      <c r="K55" s="517">
        <f t="shared" si="49"/>
        <v>0</v>
      </c>
      <c r="L55" s="517">
        <f t="shared" si="49"/>
        <v>0</v>
      </c>
      <c r="M55" s="517">
        <f t="shared" ref="M55:T55" si="50">ROUNDUP($F55*M$2,0)</f>
        <v>0</v>
      </c>
      <c r="N55" s="517">
        <f t="shared" si="50"/>
        <v>0</v>
      </c>
      <c r="O55" s="517">
        <f t="shared" si="50"/>
        <v>0</v>
      </c>
      <c r="P55" s="517">
        <f t="shared" si="50"/>
        <v>0</v>
      </c>
      <c r="Q55" s="517">
        <f t="shared" si="50"/>
        <v>0</v>
      </c>
      <c r="R55" s="517">
        <f t="shared" si="50"/>
        <v>0</v>
      </c>
      <c r="S55" s="517">
        <f t="shared" si="50"/>
        <v>0</v>
      </c>
      <c r="T55" s="517">
        <f t="shared" si="50"/>
        <v>0</v>
      </c>
      <c r="U55" s="517">
        <f t="shared" si="49"/>
        <v>0</v>
      </c>
      <c r="V55" s="517">
        <f t="shared" si="49"/>
        <v>0</v>
      </c>
      <c r="W55" s="517">
        <f t="shared" si="49"/>
        <v>0</v>
      </c>
      <c r="X55" s="517">
        <f t="shared" si="49"/>
        <v>0</v>
      </c>
      <c r="Y55" s="517">
        <f t="shared" si="49"/>
        <v>0</v>
      </c>
      <c r="Z55" s="517">
        <f t="shared" si="49"/>
        <v>0</v>
      </c>
      <c r="AA55" s="517">
        <f t="shared" si="49"/>
        <v>0</v>
      </c>
      <c r="AB55" s="517">
        <f t="shared" si="49"/>
        <v>0</v>
      </c>
      <c r="AC55" s="517">
        <f t="shared" si="49"/>
        <v>0</v>
      </c>
      <c r="AD55" s="517">
        <f t="shared" si="49"/>
        <v>0</v>
      </c>
      <c r="AE55" s="517">
        <f t="shared" si="49"/>
        <v>0</v>
      </c>
      <c r="AF55" s="517">
        <f t="shared" si="49"/>
        <v>0</v>
      </c>
      <c r="AG55" s="517">
        <f t="shared" si="49"/>
        <v>0</v>
      </c>
      <c r="AH55" s="517">
        <f t="shared" si="49"/>
        <v>0</v>
      </c>
      <c r="AI55" s="517">
        <f t="shared" si="49"/>
        <v>0</v>
      </c>
      <c r="AJ55" s="517">
        <f t="shared" si="49"/>
        <v>0</v>
      </c>
      <c r="AK55" s="517">
        <f t="shared" si="49"/>
        <v>0</v>
      </c>
      <c r="AL55" s="517">
        <f t="shared" si="49"/>
        <v>0</v>
      </c>
      <c r="AM55" s="517">
        <f t="shared" si="49"/>
        <v>0</v>
      </c>
      <c r="AN55" s="517">
        <f t="shared" si="49"/>
        <v>0</v>
      </c>
      <c r="AO55" s="517">
        <f t="shared" si="49"/>
        <v>0</v>
      </c>
      <c r="AP55" s="517">
        <f t="shared" si="49"/>
        <v>0</v>
      </c>
      <c r="AQ55" s="517">
        <f t="shared" si="49"/>
        <v>0</v>
      </c>
      <c r="AR55" s="517">
        <f t="shared" si="49"/>
        <v>0</v>
      </c>
      <c r="AS55" s="517">
        <f t="shared" si="49"/>
        <v>0</v>
      </c>
      <c r="AT55" s="517">
        <f t="shared" si="49"/>
        <v>0</v>
      </c>
      <c r="AU55" s="517">
        <f t="shared" si="49"/>
        <v>0</v>
      </c>
      <c r="AV55" s="517">
        <f t="shared" si="49"/>
        <v>0</v>
      </c>
      <c r="AW55" s="517">
        <f t="shared" si="49"/>
        <v>0</v>
      </c>
      <c r="AX55" s="517">
        <f t="shared" si="49"/>
        <v>0</v>
      </c>
      <c r="AY55" s="517">
        <f t="shared" si="49"/>
        <v>0</v>
      </c>
      <c r="AZ55" s="517">
        <f t="shared" si="49"/>
        <v>0</v>
      </c>
      <c r="BA55" s="517">
        <f t="shared" si="49"/>
        <v>0</v>
      </c>
      <c r="BB55" s="517">
        <f t="shared" si="49"/>
        <v>0</v>
      </c>
      <c r="BC55" s="517">
        <f t="shared" si="49"/>
        <v>0</v>
      </c>
      <c r="BD55" s="517">
        <f t="shared" si="49"/>
        <v>0</v>
      </c>
      <c r="BE55" s="534">
        <f>SUM(טבלה3441[[#This Row],[1]:[50]])</f>
        <v>0</v>
      </c>
      <c r="BF55" s="534">
        <f>CEILING(טבלה3441[[#This Row],[סה"כ]],20000)/20000</f>
        <v>0</v>
      </c>
      <c r="BG55" s="576" t="str">
        <f>טבלה3441[[#This Row],[פרודוקטים]]</f>
        <v>פירה</v>
      </c>
    </row>
    <row r="56" spans="1:65">
      <c r="A56" s="518" t="s">
        <v>891</v>
      </c>
      <c r="B56" s="518">
        <v>10235</v>
      </c>
      <c r="C56" s="518" t="s">
        <v>113</v>
      </c>
      <c r="D56" s="639" t="s">
        <v>736</v>
      </c>
      <c r="E56" s="639"/>
      <c r="F56" s="522">
        <v>120</v>
      </c>
      <c r="G56" s="517">
        <f>ROUNDUP($F56*(G$2-G$3),0)</f>
        <v>0</v>
      </c>
      <c r="H56" s="517">
        <f t="shared" ref="H56:BD56" si="51">ROUNDUP($F56*(H$2),0)</f>
        <v>0</v>
      </c>
      <c r="I56" s="517">
        <f t="shared" si="51"/>
        <v>0</v>
      </c>
      <c r="J56" s="517">
        <f t="shared" si="51"/>
        <v>0</v>
      </c>
      <c r="K56" s="517">
        <f t="shared" si="51"/>
        <v>0</v>
      </c>
      <c r="L56" s="517">
        <f t="shared" si="51"/>
        <v>0</v>
      </c>
      <c r="M56" s="517">
        <f t="shared" ref="M56:T56" si="52">ROUNDUP($F56*(M$2),0)</f>
        <v>0</v>
      </c>
      <c r="N56" s="517">
        <f t="shared" si="52"/>
        <v>0</v>
      </c>
      <c r="O56" s="517">
        <f t="shared" si="52"/>
        <v>0</v>
      </c>
      <c r="P56" s="517">
        <f t="shared" si="52"/>
        <v>0</v>
      </c>
      <c r="Q56" s="517">
        <f t="shared" si="52"/>
        <v>0</v>
      </c>
      <c r="R56" s="517">
        <f t="shared" si="52"/>
        <v>0</v>
      </c>
      <c r="S56" s="517">
        <f t="shared" si="52"/>
        <v>0</v>
      </c>
      <c r="T56" s="517">
        <f t="shared" si="52"/>
        <v>0</v>
      </c>
      <c r="U56" s="517">
        <f t="shared" si="51"/>
        <v>0</v>
      </c>
      <c r="V56" s="517">
        <f t="shared" si="51"/>
        <v>0</v>
      </c>
      <c r="W56" s="517">
        <f t="shared" si="51"/>
        <v>0</v>
      </c>
      <c r="X56" s="517">
        <f t="shared" si="51"/>
        <v>0</v>
      </c>
      <c r="Y56" s="517">
        <f t="shared" si="51"/>
        <v>0</v>
      </c>
      <c r="Z56" s="517">
        <f t="shared" si="51"/>
        <v>0</v>
      </c>
      <c r="AA56" s="517">
        <f t="shared" si="51"/>
        <v>0</v>
      </c>
      <c r="AB56" s="517">
        <f t="shared" si="51"/>
        <v>0</v>
      </c>
      <c r="AC56" s="517">
        <f t="shared" si="51"/>
        <v>0</v>
      </c>
      <c r="AD56" s="517">
        <f t="shared" si="51"/>
        <v>0</v>
      </c>
      <c r="AE56" s="517">
        <f t="shared" si="51"/>
        <v>0</v>
      </c>
      <c r="AF56" s="517">
        <f t="shared" si="51"/>
        <v>0</v>
      </c>
      <c r="AG56" s="517">
        <f t="shared" si="51"/>
        <v>0</v>
      </c>
      <c r="AH56" s="517">
        <f t="shared" si="51"/>
        <v>0</v>
      </c>
      <c r="AI56" s="517">
        <f t="shared" si="51"/>
        <v>0</v>
      </c>
      <c r="AJ56" s="517">
        <f t="shared" si="51"/>
        <v>0</v>
      </c>
      <c r="AK56" s="517">
        <f t="shared" si="51"/>
        <v>0</v>
      </c>
      <c r="AL56" s="517">
        <f t="shared" si="51"/>
        <v>0</v>
      </c>
      <c r="AM56" s="517">
        <f t="shared" si="51"/>
        <v>0</v>
      </c>
      <c r="AN56" s="517">
        <f t="shared" si="51"/>
        <v>0</v>
      </c>
      <c r="AO56" s="517">
        <f t="shared" si="51"/>
        <v>0</v>
      </c>
      <c r="AP56" s="517">
        <f t="shared" si="51"/>
        <v>0</v>
      </c>
      <c r="AQ56" s="517">
        <f t="shared" si="51"/>
        <v>0</v>
      </c>
      <c r="AR56" s="517">
        <f t="shared" si="51"/>
        <v>0</v>
      </c>
      <c r="AS56" s="517">
        <f t="shared" si="51"/>
        <v>0</v>
      </c>
      <c r="AT56" s="517">
        <f t="shared" si="51"/>
        <v>0</v>
      </c>
      <c r="AU56" s="517">
        <f t="shared" si="51"/>
        <v>0</v>
      </c>
      <c r="AV56" s="517">
        <f t="shared" si="51"/>
        <v>0</v>
      </c>
      <c r="AW56" s="517">
        <f t="shared" si="51"/>
        <v>0</v>
      </c>
      <c r="AX56" s="517">
        <f t="shared" si="51"/>
        <v>0</v>
      </c>
      <c r="AY56" s="517">
        <f t="shared" si="51"/>
        <v>0</v>
      </c>
      <c r="AZ56" s="517">
        <f t="shared" si="51"/>
        <v>0</v>
      </c>
      <c r="BA56" s="517">
        <f t="shared" si="51"/>
        <v>0</v>
      </c>
      <c r="BB56" s="517">
        <f t="shared" si="51"/>
        <v>0</v>
      </c>
      <c r="BC56" s="517">
        <f t="shared" si="51"/>
        <v>0</v>
      </c>
      <c r="BD56" s="517">
        <f t="shared" si="51"/>
        <v>0</v>
      </c>
      <c r="BE56" s="534">
        <f>SUM(טבלה3441[[#This Row],[1]:[50]])</f>
        <v>0</v>
      </c>
      <c r="BF56" s="534">
        <f>CEILING(טבלה3441[[#This Row],[סה"כ]],3000)/3000</f>
        <v>0</v>
      </c>
      <c r="BG56" s="576" t="str">
        <f>טבלה3441[[#This Row],[פרודוקטים]]</f>
        <v>שווארמה</v>
      </c>
    </row>
    <row r="57" spans="1:65">
      <c r="A57" s="518" t="s">
        <v>891</v>
      </c>
      <c r="B57" s="518">
        <v>3</v>
      </c>
      <c r="C57" s="518" t="s">
        <v>2</v>
      </c>
      <c r="D57" s="639" t="s">
        <v>681</v>
      </c>
      <c r="E57" s="639"/>
      <c r="F57" s="521">
        <f>1/4</f>
        <v>0.25</v>
      </c>
      <c r="G57" s="517">
        <f>ROUNDUP($F57*G$2,0)</f>
        <v>0</v>
      </c>
      <c r="H57" s="517">
        <f t="shared" ref="H57:BD62" si="53">ROUNDUP($F57*H$2,0)</f>
        <v>0</v>
      </c>
      <c r="I57" s="517">
        <f t="shared" si="53"/>
        <v>0</v>
      </c>
      <c r="J57" s="517">
        <f t="shared" si="53"/>
        <v>0</v>
      </c>
      <c r="K57" s="517">
        <f t="shared" si="53"/>
        <v>0</v>
      </c>
      <c r="L57" s="517">
        <f t="shared" si="53"/>
        <v>0</v>
      </c>
      <c r="M57" s="517">
        <f t="shared" ref="M57:T64" si="54">ROUNDUP($F57*M$2,0)</f>
        <v>0</v>
      </c>
      <c r="N57" s="517">
        <f t="shared" si="54"/>
        <v>0</v>
      </c>
      <c r="O57" s="517">
        <f t="shared" si="54"/>
        <v>0</v>
      </c>
      <c r="P57" s="517">
        <f t="shared" si="54"/>
        <v>0</v>
      </c>
      <c r="Q57" s="517">
        <f t="shared" si="54"/>
        <v>0</v>
      </c>
      <c r="R57" s="517">
        <f t="shared" si="54"/>
        <v>0</v>
      </c>
      <c r="S57" s="517">
        <f t="shared" si="54"/>
        <v>0</v>
      </c>
      <c r="T57" s="517">
        <f t="shared" si="54"/>
        <v>0</v>
      </c>
      <c r="U57" s="517">
        <f t="shared" si="53"/>
        <v>0</v>
      </c>
      <c r="V57" s="517">
        <f t="shared" si="53"/>
        <v>0</v>
      </c>
      <c r="W57" s="517">
        <f t="shared" si="53"/>
        <v>0</v>
      </c>
      <c r="X57" s="517">
        <f t="shared" si="53"/>
        <v>0</v>
      </c>
      <c r="Y57" s="517">
        <f t="shared" si="53"/>
        <v>0</v>
      </c>
      <c r="Z57" s="517">
        <f t="shared" si="53"/>
        <v>0</v>
      </c>
      <c r="AA57" s="517">
        <f t="shared" si="53"/>
        <v>0</v>
      </c>
      <c r="AB57" s="517">
        <f t="shared" si="53"/>
        <v>0</v>
      </c>
      <c r="AC57" s="517">
        <f t="shared" si="53"/>
        <v>0</v>
      </c>
      <c r="AD57" s="517">
        <f t="shared" si="53"/>
        <v>0</v>
      </c>
      <c r="AE57" s="517">
        <f t="shared" si="53"/>
        <v>0</v>
      </c>
      <c r="AF57" s="517">
        <f t="shared" si="53"/>
        <v>0</v>
      </c>
      <c r="AG57" s="517">
        <f t="shared" si="53"/>
        <v>0</v>
      </c>
      <c r="AH57" s="517">
        <f t="shared" si="53"/>
        <v>0</v>
      </c>
      <c r="AI57" s="517">
        <f t="shared" si="53"/>
        <v>0</v>
      </c>
      <c r="AJ57" s="517">
        <f t="shared" si="53"/>
        <v>0</v>
      </c>
      <c r="AK57" s="517">
        <f t="shared" si="53"/>
        <v>0</v>
      </c>
      <c r="AL57" s="517">
        <f t="shared" si="53"/>
        <v>0</v>
      </c>
      <c r="AM57" s="517">
        <f t="shared" si="53"/>
        <v>0</v>
      </c>
      <c r="AN57" s="517">
        <f t="shared" si="53"/>
        <v>0</v>
      </c>
      <c r="AO57" s="517">
        <f t="shared" si="53"/>
        <v>0</v>
      </c>
      <c r="AP57" s="517">
        <f t="shared" si="53"/>
        <v>0</v>
      </c>
      <c r="AQ57" s="517">
        <f t="shared" si="53"/>
        <v>0</v>
      </c>
      <c r="AR57" s="517">
        <f t="shared" si="53"/>
        <v>0</v>
      </c>
      <c r="AS57" s="517">
        <f t="shared" si="53"/>
        <v>0</v>
      </c>
      <c r="AT57" s="517">
        <f t="shared" si="53"/>
        <v>0</v>
      </c>
      <c r="AU57" s="517">
        <f t="shared" si="53"/>
        <v>0</v>
      </c>
      <c r="AV57" s="517">
        <f t="shared" si="53"/>
        <v>0</v>
      </c>
      <c r="AW57" s="517">
        <f t="shared" si="53"/>
        <v>0</v>
      </c>
      <c r="AX57" s="517">
        <f t="shared" si="53"/>
        <v>0</v>
      </c>
      <c r="AY57" s="517">
        <f t="shared" si="53"/>
        <v>0</v>
      </c>
      <c r="AZ57" s="517">
        <f t="shared" si="53"/>
        <v>0</v>
      </c>
      <c r="BA57" s="517">
        <f t="shared" si="53"/>
        <v>0</v>
      </c>
      <c r="BB57" s="517">
        <f t="shared" si="53"/>
        <v>0</v>
      </c>
      <c r="BC57" s="517">
        <f t="shared" si="53"/>
        <v>0</v>
      </c>
      <c r="BD57" s="517">
        <f t="shared" si="53"/>
        <v>0</v>
      </c>
      <c r="BE57" s="534">
        <f>SUM(טבלה3441[[#This Row],[1]:[50]])</f>
        <v>0</v>
      </c>
      <c r="BF57" s="534">
        <f>ROUNDUP(טבלה3441[[#This Row],[סה"כ]]/7+טבלה3441[[#This Row],[סה"כ]]/7*טבלה3441[[#This Row],[תוספת]],0)</f>
        <v>0</v>
      </c>
      <c r="BG57" s="576" t="str">
        <f>טבלה3441[[#This Row],[פרודוקטים]]</f>
        <v>מלפפון</v>
      </c>
      <c r="BH57" s="532">
        <v>0</v>
      </c>
    </row>
    <row r="58" spans="1:65">
      <c r="A58" s="518" t="s">
        <v>891</v>
      </c>
      <c r="B58" s="518">
        <v>607</v>
      </c>
      <c r="C58" s="518" t="s">
        <v>3</v>
      </c>
      <c r="D58" s="639" t="s">
        <v>681</v>
      </c>
      <c r="E58" s="639"/>
      <c r="F58" s="521">
        <f>1/4</f>
        <v>0.25</v>
      </c>
      <c r="G58" s="517">
        <f t="shared" ref="G58:V60" si="55">ROUNDUP($F58*G$2,0)</f>
        <v>0</v>
      </c>
      <c r="H58" s="517">
        <f t="shared" si="55"/>
        <v>0</v>
      </c>
      <c r="I58" s="517">
        <f t="shared" si="55"/>
        <v>0</v>
      </c>
      <c r="J58" s="517">
        <f t="shared" si="55"/>
        <v>0</v>
      </c>
      <c r="K58" s="517">
        <f t="shared" si="55"/>
        <v>0</v>
      </c>
      <c r="L58" s="517">
        <f t="shared" si="55"/>
        <v>0</v>
      </c>
      <c r="M58" s="517">
        <f t="shared" si="54"/>
        <v>0</v>
      </c>
      <c r="N58" s="517">
        <f t="shared" si="54"/>
        <v>0</v>
      </c>
      <c r="O58" s="517">
        <f t="shared" si="54"/>
        <v>0</v>
      </c>
      <c r="P58" s="517">
        <f t="shared" si="54"/>
        <v>0</v>
      </c>
      <c r="Q58" s="517">
        <f t="shared" si="54"/>
        <v>0</v>
      </c>
      <c r="R58" s="517">
        <f t="shared" si="54"/>
        <v>0</v>
      </c>
      <c r="S58" s="517">
        <f t="shared" si="54"/>
        <v>0</v>
      </c>
      <c r="T58" s="517">
        <f t="shared" si="54"/>
        <v>0</v>
      </c>
      <c r="U58" s="517">
        <f t="shared" si="55"/>
        <v>0</v>
      </c>
      <c r="V58" s="517">
        <f t="shared" si="55"/>
        <v>0</v>
      </c>
      <c r="W58" s="517">
        <f t="shared" si="53"/>
        <v>0</v>
      </c>
      <c r="X58" s="517">
        <f t="shared" si="53"/>
        <v>0</v>
      </c>
      <c r="Y58" s="517">
        <f t="shared" si="53"/>
        <v>0</v>
      </c>
      <c r="Z58" s="517">
        <f t="shared" si="53"/>
        <v>0</v>
      </c>
      <c r="AA58" s="517">
        <f t="shared" si="53"/>
        <v>0</v>
      </c>
      <c r="AB58" s="517">
        <f t="shared" si="53"/>
        <v>0</v>
      </c>
      <c r="AC58" s="517">
        <f t="shared" si="53"/>
        <v>0</v>
      </c>
      <c r="AD58" s="517">
        <f t="shared" si="53"/>
        <v>0</v>
      </c>
      <c r="AE58" s="517">
        <f t="shared" si="53"/>
        <v>0</v>
      </c>
      <c r="AF58" s="517">
        <f t="shared" si="53"/>
        <v>0</v>
      </c>
      <c r="AG58" s="517">
        <f t="shared" si="53"/>
        <v>0</v>
      </c>
      <c r="AH58" s="517">
        <f t="shared" si="53"/>
        <v>0</v>
      </c>
      <c r="AI58" s="517">
        <f t="shared" si="53"/>
        <v>0</v>
      </c>
      <c r="AJ58" s="517">
        <f t="shared" si="53"/>
        <v>0</v>
      </c>
      <c r="AK58" s="517">
        <f t="shared" si="53"/>
        <v>0</v>
      </c>
      <c r="AL58" s="517">
        <f t="shared" si="53"/>
        <v>0</v>
      </c>
      <c r="AM58" s="517">
        <f t="shared" si="53"/>
        <v>0</v>
      </c>
      <c r="AN58" s="517">
        <f t="shared" si="53"/>
        <v>0</v>
      </c>
      <c r="AO58" s="517">
        <f t="shared" si="53"/>
        <v>0</v>
      </c>
      <c r="AP58" s="517">
        <f t="shared" si="53"/>
        <v>0</v>
      </c>
      <c r="AQ58" s="517">
        <f t="shared" si="53"/>
        <v>0</v>
      </c>
      <c r="AR58" s="517">
        <f t="shared" si="53"/>
        <v>0</v>
      </c>
      <c r="AS58" s="517">
        <f t="shared" si="53"/>
        <v>0</v>
      </c>
      <c r="AT58" s="517">
        <f t="shared" si="53"/>
        <v>0</v>
      </c>
      <c r="AU58" s="517">
        <f t="shared" si="53"/>
        <v>0</v>
      </c>
      <c r="AV58" s="517">
        <f t="shared" si="53"/>
        <v>0</v>
      </c>
      <c r="AW58" s="517">
        <f t="shared" si="53"/>
        <v>0</v>
      </c>
      <c r="AX58" s="517">
        <f t="shared" si="53"/>
        <v>0</v>
      </c>
      <c r="AY58" s="517">
        <f t="shared" si="53"/>
        <v>0</v>
      </c>
      <c r="AZ58" s="517">
        <f t="shared" si="53"/>
        <v>0</v>
      </c>
      <c r="BA58" s="517">
        <f t="shared" si="53"/>
        <v>0</v>
      </c>
      <c r="BB58" s="517">
        <f t="shared" si="53"/>
        <v>0</v>
      </c>
      <c r="BC58" s="517">
        <f t="shared" si="53"/>
        <v>0</v>
      </c>
      <c r="BD58" s="517">
        <f t="shared" si="53"/>
        <v>0</v>
      </c>
      <c r="BE58" s="534">
        <f>SUM(טבלה3441[[#This Row],[1]:[50]])</f>
        <v>0</v>
      </c>
      <c r="BF58" s="534">
        <f>ROUNDUP(טבלה3441[[#This Row],[סה"כ]]/5+טבלה3441[[#This Row],[סה"כ]]/5*טבלה3441[[#This Row],[תוספת]],0)</f>
        <v>0</v>
      </c>
      <c r="BG58" s="576" t="str">
        <f>טבלה3441[[#This Row],[פרודוקטים]]</f>
        <v>עגבניה</v>
      </c>
      <c r="BH58" s="532">
        <v>0</v>
      </c>
    </row>
    <row r="59" spans="1:65">
      <c r="A59" s="518" t="s">
        <v>891</v>
      </c>
      <c r="B59" s="518">
        <v>157</v>
      </c>
      <c r="C59" s="518" t="s">
        <v>21</v>
      </c>
      <c r="D59" s="639" t="s">
        <v>890</v>
      </c>
      <c r="E59" s="639"/>
      <c r="F59" s="523">
        <f>1/10</f>
        <v>0.1</v>
      </c>
      <c r="G59" s="517">
        <f t="shared" si="55"/>
        <v>0</v>
      </c>
      <c r="H59" s="517">
        <f t="shared" si="53"/>
        <v>0</v>
      </c>
      <c r="I59" s="517">
        <f t="shared" si="53"/>
        <v>0</v>
      </c>
      <c r="J59" s="517">
        <f t="shared" si="53"/>
        <v>0</v>
      </c>
      <c r="K59" s="517">
        <f t="shared" si="53"/>
        <v>0</v>
      </c>
      <c r="L59" s="517">
        <f t="shared" si="53"/>
        <v>0</v>
      </c>
      <c r="M59" s="517">
        <f t="shared" si="54"/>
        <v>0</v>
      </c>
      <c r="N59" s="517">
        <f t="shared" si="54"/>
        <v>0</v>
      </c>
      <c r="O59" s="517">
        <f t="shared" si="54"/>
        <v>0</v>
      </c>
      <c r="P59" s="517">
        <f t="shared" si="54"/>
        <v>0</v>
      </c>
      <c r="Q59" s="517">
        <f t="shared" si="54"/>
        <v>0</v>
      </c>
      <c r="R59" s="517">
        <f t="shared" si="54"/>
        <v>0</v>
      </c>
      <c r="S59" s="517">
        <f t="shared" si="54"/>
        <v>0</v>
      </c>
      <c r="T59" s="517">
        <f t="shared" si="54"/>
        <v>0</v>
      </c>
      <c r="U59" s="517">
        <f t="shared" si="53"/>
        <v>0</v>
      </c>
      <c r="V59" s="517">
        <f t="shared" si="53"/>
        <v>0</v>
      </c>
      <c r="W59" s="517">
        <f t="shared" si="53"/>
        <v>0</v>
      </c>
      <c r="X59" s="517">
        <f t="shared" si="53"/>
        <v>0</v>
      </c>
      <c r="Y59" s="517">
        <f t="shared" si="53"/>
        <v>0</v>
      </c>
      <c r="Z59" s="517">
        <f t="shared" si="53"/>
        <v>0</v>
      </c>
      <c r="AA59" s="517">
        <f t="shared" si="53"/>
        <v>0</v>
      </c>
      <c r="AB59" s="517">
        <f t="shared" si="53"/>
        <v>0</v>
      </c>
      <c r="AC59" s="517">
        <f t="shared" si="53"/>
        <v>0</v>
      </c>
      <c r="AD59" s="517">
        <f t="shared" si="53"/>
        <v>0</v>
      </c>
      <c r="AE59" s="517">
        <f t="shared" si="53"/>
        <v>0</v>
      </c>
      <c r="AF59" s="517">
        <f t="shared" si="53"/>
        <v>0</v>
      </c>
      <c r="AG59" s="517">
        <f t="shared" si="53"/>
        <v>0</v>
      </c>
      <c r="AH59" s="517">
        <f t="shared" si="53"/>
        <v>0</v>
      </c>
      <c r="AI59" s="517">
        <f t="shared" si="53"/>
        <v>0</v>
      </c>
      <c r="AJ59" s="517">
        <f t="shared" si="53"/>
        <v>0</v>
      </c>
      <c r="AK59" s="517">
        <f t="shared" si="53"/>
        <v>0</v>
      </c>
      <c r="AL59" s="517">
        <f t="shared" si="53"/>
        <v>0</v>
      </c>
      <c r="AM59" s="517">
        <f t="shared" si="53"/>
        <v>0</v>
      </c>
      <c r="AN59" s="517">
        <f t="shared" si="53"/>
        <v>0</v>
      </c>
      <c r="AO59" s="517">
        <f t="shared" si="53"/>
        <v>0</v>
      </c>
      <c r="AP59" s="517">
        <f t="shared" si="53"/>
        <v>0</v>
      </c>
      <c r="AQ59" s="517">
        <f t="shared" si="53"/>
        <v>0</v>
      </c>
      <c r="AR59" s="517">
        <f t="shared" si="53"/>
        <v>0</v>
      </c>
      <c r="AS59" s="517">
        <f t="shared" si="53"/>
        <v>0</v>
      </c>
      <c r="AT59" s="517">
        <f t="shared" si="53"/>
        <v>0</v>
      </c>
      <c r="AU59" s="517">
        <f t="shared" si="53"/>
        <v>0</v>
      </c>
      <c r="AV59" s="517">
        <f t="shared" si="53"/>
        <v>0</v>
      </c>
      <c r="AW59" s="517">
        <f t="shared" si="53"/>
        <v>0</v>
      </c>
      <c r="AX59" s="517">
        <f t="shared" si="53"/>
        <v>0</v>
      </c>
      <c r="AY59" s="517">
        <f t="shared" si="53"/>
        <v>0</v>
      </c>
      <c r="AZ59" s="517">
        <f t="shared" si="53"/>
        <v>0</v>
      </c>
      <c r="BA59" s="517">
        <f t="shared" si="53"/>
        <v>0</v>
      </c>
      <c r="BB59" s="517">
        <f t="shared" si="53"/>
        <v>0</v>
      </c>
      <c r="BC59" s="517">
        <f t="shared" si="53"/>
        <v>0</v>
      </c>
      <c r="BD59" s="517">
        <f t="shared" si="53"/>
        <v>0</v>
      </c>
      <c r="BE59" s="534">
        <f>SUM(טבלה3441[[#This Row],[1]:[50]])</f>
        <v>0</v>
      </c>
      <c r="BF59" s="534">
        <f>ROUNDUP(טבלה3441[[#This Row],[סה"כ]]/5+טבלה3441[[#This Row],[סה"כ]]/5*טבלה3441[[#This Row],[תוספת]],0)</f>
        <v>0</v>
      </c>
      <c r="BG59" s="576" t="str">
        <f>טבלה3441[[#This Row],[פרודוקטים]]</f>
        <v>בצל</v>
      </c>
      <c r="BH59" s="532">
        <v>0</v>
      </c>
    </row>
    <row r="60" spans="1:65">
      <c r="A60" s="518" t="s">
        <v>891</v>
      </c>
      <c r="B60" s="518">
        <v>6975</v>
      </c>
      <c r="C60" s="518" t="s">
        <v>41</v>
      </c>
      <c r="D60" s="530" t="s">
        <v>718</v>
      </c>
      <c r="E60" s="530"/>
      <c r="F60" s="523">
        <v>3.3333333333333333E-2</v>
      </c>
      <c r="G60" s="517">
        <f t="shared" si="55"/>
        <v>0</v>
      </c>
      <c r="H60" s="517">
        <f t="shared" si="53"/>
        <v>0</v>
      </c>
      <c r="I60" s="517">
        <f t="shared" si="53"/>
        <v>0</v>
      </c>
      <c r="J60" s="517">
        <f t="shared" si="53"/>
        <v>0</v>
      </c>
      <c r="K60" s="517">
        <f t="shared" si="53"/>
        <v>0</v>
      </c>
      <c r="L60" s="517">
        <f t="shared" si="53"/>
        <v>0</v>
      </c>
      <c r="M60" s="517">
        <f t="shared" si="54"/>
        <v>0</v>
      </c>
      <c r="N60" s="517">
        <f t="shared" si="54"/>
        <v>0</v>
      </c>
      <c r="O60" s="517">
        <f t="shared" si="54"/>
        <v>0</v>
      </c>
      <c r="P60" s="517">
        <f t="shared" si="54"/>
        <v>0</v>
      </c>
      <c r="Q60" s="517">
        <f t="shared" si="54"/>
        <v>0</v>
      </c>
      <c r="R60" s="517">
        <f t="shared" si="54"/>
        <v>0</v>
      </c>
      <c r="S60" s="517">
        <f t="shared" si="54"/>
        <v>0</v>
      </c>
      <c r="T60" s="517">
        <f t="shared" si="54"/>
        <v>0</v>
      </c>
      <c r="U60" s="517">
        <f t="shared" si="53"/>
        <v>0</v>
      </c>
      <c r="V60" s="517">
        <f t="shared" si="53"/>
        <v>0</v>
      </c>
      <c r="W60" s="517">
        <f t="shared" si="53"/>
        <v>0</v>
      </c>
      <c r="X60" s="517">
        <f t="shared" si="53"/>
        <v>0</v>
      </c>
      <c r="Y60" s="517">
        <f t="shared" si="53"/>
        <v>0</v>
      </c>
      <c r="Z60" s="517">
        <f t="shared" si="53"/>
        <v>0</v>
      </c>
      <c r="AA60" s="517">
        <f t="shared" si="53"/>
        <v>0</v>
      </c>
      <c r="AB60" s="517">
        <f t="shared" si="53"/>
        <v>0</v>
      </c>
      <c r="AC60" s="517">
        <f t="shared" si="53"/>
        <v>0</v>
      </c>
      <c r="AD60" s="517">
        <f t="shared" si="53"/>
        <v>0</v>
      </c>
      <c r="AE60" s="517">
        <f t="shared" si="53"/>
        <v>0</v>
      </c>
      <c r="AF60" s="517">
        <f t="shared" si="53"/>
        <v>0</v>
      </c>
      <c r="AG60" s="517">
        <f t="shared" si="53"/>
        <v>0</v>
      </c>
      <c r="AH60" s="517">
        <f t="shared" si="53"/>
        <v>0</v>
      </c>
      <c r="AI60" s="517">
        <f t="shared" si="53"/>
        <v>0</v>
      </c>
      <c r="AJ60" s="517">
        <f t="shared" si="53"/>
        <v>0</v>
      </c>
      <c r="AK60" s="517">
        <f t="shared" si="53"/>
        <v>0</v>
      </c>
      <c r="AL60" s="517">
        <f t="shared" si="53"/>
        <v>0</v>
      </c>
      <c r="AM60" s="517">
        <f t="shared" si="53"/>
        <v>0</v>
      </c>
      <c r="AN60" s="517">
        <f t="shared" si="53"/>
        <v>0</v>
      </c>
      <c r="AO60" s="517">
        <f t="shared" si="53"/>
        <v>0</v>
      </c>
      <c r="AP60" s="517">
        <f t="shared" si="53"/>
        <v>0</v>
      </c>
      <c r="AQ60" s="517">
        <f t="shared" si="53"/>
        <v>0</v>
      </c>
      <c r="AR60" s="517">
        <f t="shared" si="53"/>
        <v>0</v>
      </c>
      <c r="AS60" s="517">
        <f t="shared" si="53"/>
        <v>0</v>
      </c>
      <c r="AT60" s="517">
        <f t="shared" si="53"/>
        <v>0</v>
      </c>
      <c r="AU60" s="517">
        <f t="shared" si="53"/>
        <v>0</v>
      </c>
      <c r="AV60" s="517">
        <f t="shared" si="53"/>
        <v>0</v>
      </c>
      <c r="AW60" s="517">
        <f t="shared" si="53"/>
        <v>0</v>
      </c>
      <c r="AX60" s="517">
        <f t="shared" si="53"/>
        <v>0</v>
      </c>
      <c r="AY60" s="517">
        <f t="shared" si="53"/>
        <v>0</v>
      </c>
      <c r="AZ60" s="517">
        <f t="shared" si="53"/>
        <v>0</v>
      </c>
      <c r="BA60" s="517">
        <f t="shared" si="53"/>
        <v>0</v>
      </c>
      <c r="BB60" s="517">
        <f t="shared" si="53"/>
        <v>0</v>
      </c>
      <c r="BC60" s="517">
        <f t="shared" si="53"/>
        <v>0</v>
      </c>
      <c r="BD60" s="517">
        <f t="shared" si="53"/>
        <v>0</v>
      </c>
      <c r="BE60" s="534">
        <f>SUM(טבלה3441[[#This Row],[1]:[50]])</f>
        <v>0</v>
      </c>
      <c r="BF60" s="534">
        <f>טבלה3441[[#This Row],[סה"כ]]</f>
        <v>0</v>
      </c>
      <c r="BG60" s="576" t="str">
        <f>טבלה3441[[#This Row],[פרודוקטים]]</f>
        <v>טחינה</v>
      </c>
    </row>
    <row r="61" spans="1:65">
      <c r="A61" s="518" t="s">
        <v>891</v>
      </c>
      <c r="B61" s="518">
        <v>397</v>
      </c>
      <c r="C61" s="518" t="s">
        <v>719</v>
      </c>
      <c r="D61" s="530" t="s">
        <v>702</v>
      </c>
      <c r="E61" s="530"/>
      <c r="F61" s="523">
        <f>1/10</f>
        <v>0.1</v>
      </c>
      <c r="G61" s="517">
        <f>ROUNDUP($F61*G$2,0)</f>
        <v>0</v>
      </c>
      <c r="H61" s="517">
        <f t="shared" si="53"/>
        <v>0</v>
      </c>
      <c r="I61" s="517">
        <f t="shared" si="53"/>
        <v>0</v>
      </c>
      <c r="J61" s="517">
        <f t="shared" si="53"/>
        <v>0</v>
      </c>
      <c r="K61" s="517">
        <f t="shared" si="53"/>
        <v>0</v>
      </c>
      <c r="L61" s="517">
        <f t="shared" si="53"/>
        <v>0</v>
      </c>
      <c r="M61" s="517">
        <f t="shared" si="54"/>
        <v>0</v>
      </c>
      <c r="N61" s="517">
        <f t="shared" si="54"/>
        <v>0</v>
      </c>
      <c r="O61" s="517">
        <f t="shared" si="54"/>
        <v>0</v>
      </c>
      <c r="P61" s="517">
        <f t="shared" si="54"/>
        <v>0</v>
      </c>
      <c r="Q61" s="517">
        <f t="shared" si="54"/>
        <v>0</v>
      </c>
      <c r="R61" s="517">
        <f t="shared" si="54"/>
        <v>0</v>
      </c>
      <c r="S61" s="517">
        <f t="shared" si="54"/>
        <v>0</v>
      </c>
      <c r="T61" s="517">
        <f t="shared" si="54"/>
        <v>0</v>
      </c>
      <c r="U61" s="517">
        <f t="shared" si="53"/>
        <v>0</v>
      </c>
      <c r="V61" s="517">
        <f t="shared" si="53"/>
        <v>0</v>
      </c>
      <c r="W61" s="517">
        <f t="shared" si="53"/>
        <v>0</v>
      </c>
      <c r="X61" s="517">
        <f t="shared" si="53"/>
        <v>0</v>
      </c>
      <c r="Y61" s="517">
        <f t="shared" si="53"/>
        <v>0</v>
      </c>
      <c r="Z61" s="517">
        <f t="shared" si="53"/>
        <v>0</v>
      </c>
      <c r="AA61" s="517">
        <f t="shared" si="53"/>
        <v>0</v>
      </c>
      <c r="AB61" s="517">
        <f t="shared" si="53"/>
        <v>0</v>
      </c>
      <c r="AC61" s="517">
        <f t="shared" si="53"/>
        <v>0</v>
      </c>
      <c r="AD61" s="517">
        <f t="shared" si="53"/>
        <v>0</v>
      </c>
      <c r="AE61" s="517">
        <f t="shared" si="53"/>
        <v>0</v>
      </c>
      <c r="AF61" s="517">
        <f t="shared" si="53"/>
        <v>0</v>
      </c>
      <c r="AG61" s="517">
        <f t="shared" si="53"/>
        <v>0</v>
      </c>
      <c r="AH61" s="517">
        <f t="shared" si="53"/>
        <v>0</v>
      </c>
      <c r="AI61" s="517">
        <f t="shared" si="53"/>
        <v>0</v>
      </c>
      <c r="AJ61" s="517">
        <f t="shared" si="53"/>
        <v>0</v>
      </c>
      <c r="AK61" s="517">
        <f t="shared" si="53"/>
        <v>0</v>
      </c>
      <c r="AL61" s="517">
        <f t="shared" si="53"/>
        <v>0</v>
      </c>
      <c r="AM61" s="517">
        <f t="shared" si="53"/>
        <v>0</v>
      </c>
      <c r="AN61" s="517">
        <f t="shared" si="53"/>
        <v>0</v>
      </c>
      <c r="AO61" s="517">
        <f t="shared" si="53"/>
        <v>0</v>
      </c>
      <c r="AP61" s="517">
        <f t="shared" si="53"/>
        <v>0</v>
      </c>
      <c r="AQ61" s="517">
        <f t="shared" si="53"/>
        <v>0</v>
      </c>
      <c r="AR61" s="517">
        <f t="shared" si="53"/>
        <v>0</v>
      </c>
      <c r="AS61" s="517">
        <f t="shared" si="53"/>
        <v>0</v>
      </c>
      <c r="AT61" s="517">
        <f t="shared" si="53"/>
        <v>0</v>
      </c>
      <c r="AU61" s="517">
        <f t="shared" si="53"/>
        <v>0</v>
      </c>
      <c r="AV61" s="517">
        <f t="shared" si="53"/>
        <v>0</v>
      </c>
      <c r="AW61" s="517">
        <f t="shared" si="53"/>
        <v>0</v>
      </c>
      <c r="AX61" s="517">
        <f t="shared" si="53"/>
        <v>0</v>
      </c>
      <c r="AY61" s="517">
        <f t="shared" si="53"/>
        <v>0</v>
      </c>
      <c r="AZ61" s="517">
        <f t="shared" si="53"/>
        <v>0</v>
      </c>
      <c r="BA61" s="517">
        <f t="shared" si="53"/>
        <v>0</v>
      </c>
      <c r="BB61" s="517">
        <f t="shared" si="53"/>
        <v>0</v>
      </c>
      <c r="BC61" s="517">
        <f t="shared" si="53"/>
        <v>0</v>
      </c>
      <c r="BD61" s="517">
        <f t="shared" si="53"/>
        <v>0</v>
      </c>
      <c r="BE61" s="534">
        <f>SUM(טבלה3441[[#This Row],[1]:[50]])</f>
        <v>0</v>
      </c>
      <c r="BF61" s="534">
        <f>ROUNDUP(טבלה3441[[#This Row],[סה"כ]]/5+טבלה3441[[#This Row],[סה"כ]]/5*טבלה3441[[#This Row],[תוספת]],0)</f>
        <v>0</v>
      </c>
      <c r="BG61" s="576" t="str">
        <f>טבלה3441[[#This Row],[פרודוקטים]]</f>
        <v>לימון טרי</v>
      </c>
    </row>
    <row r="62" spans="1:65" s="518" customFormat="1">
      <c r="A62" s="518" t="s">
        <v>891</v>
      </c>
      <c r="B62" s="518">
        <v>4531</v>
      </c>
      <c r="C62" s="518" t="s">
        <v>739</v>
      </c>
      <c r="D62" s="639" t="s">
        <v>894</v>
      </c>
      <c r="E62" s="639"/>
      <c r="F62" s="523">
        <v>3.3333333333333333E-2</v>
      </c>
      <c r="G62" s="517">
        <f t="shared" ref="G62:V64" si="56">ROUNDUP($F62*G$2,0)</f>
        <v>0</v>
      </c>
      <c r="H62" s="517">
        <f t="shared" si="56"/>
        <v>0</v>
      </c>
      <c r="I62" s="517">
        <f t="shared" si="56"/>
        <v>0</v>
      </c>
      <c r="J62" s="517">
        <f t="shared" si="56"/>
        <v>0</v>
      </c>
      <c r="K62" s="517">
        <f t="shared" si="56"/>
        <v>0</v>
      </c>
      <c r="L62" s="517">
        <f t="shared" si="56"/>
        <v>0</v>
      </c>
      <c r="M62" s="517">
        <f t="shared" si="54"/>
        <v>0</v>
      </c>
      <c r="N62" s="517">
        <f t="shared" si="54"/>
        <v>0</v>
      </c>
      <c r="O62" s="517">
        <f t="shared" si="54"/>
        <v>0</v>
      </c>
      <c r="P62" s="517">
        <f t="shared" si="54"/>
        <v>0</v>
      </c>
      <c r="Q62" s="517">
        <f t="shared" si="54"/>
        <v>0</v>
      </c>
      <c r="R62" s="517">
        <f t="shared" si="54"/>
        <v>0</v>
      </c>
      <c r="S62" s="517">
        <f t="shared" si="54"/>
        <v>0</v>
      </c>
      <c r="T62" s="517">
        <f t="shared" si="54"/>
        <v>0</v>
      </c>
      <c r="U62" s="517">
        <f t="shared" si="56"/>
        <v>0</v>
      </c>
      <c r="V62" s="517">
        <f t="shared" si="56"/>
        <v>0</v>
      </c>
      <c r="W62" s="517">
        <f t="shared" si="53"/>
        <v>0</v>
      </c>
      <c r="X62" s="517">
        <f t="shared" si="53"/>
        <v>0</v>
      </c>
      <c r="Y62" s="517">
        <f t="shared" si="53"/>
        <v>0</v>
      </c>
      <c r="Z62" s="517">
        <f t="shared" si="53"/>
        <v>0</v>
      </c>
      <c r="AA62" s="517">
        <f t="shared" si="53"/>
        <v>0</v>
      </c>
      <c r="AB62" s="517">
        <f t="shared" si="53"/>
        <v>0</v>
      </c>
      <c r="AC62" s="517">
        <f t="shared" si="53"/>
        <v>0</v>
      </c>
      <c r="AD62" s="517">
        <f t="shared" si="53"/>
        <v>0</v>
      </c>
      <c r="AE62" s="517">
        <f t="shared" si="53"/>
        <v>0</v>
      </c>
      <c r="AF62" s="517">
        <f t="shared" si="53"/>
        <v>0</v>
      </c>
      <c r="AG62" s="517">
        <f t="shared" si="53"/>
        <v>0</v>
      </c>
      <c r="AH62" s="517">
        <f t="shared" si="53"/>
        <v>0</v>
      </c>
      <c r="AI62" s="517">
        <f t="shared" si="53"/>
        <v>0</v>
      </c>
      <c r="AJ62" s="517">
        <f t="shared" si="53"/>
        <v>0</v>
      </c>
      <c r="AK62" s="517">
        <f t="shared" si="53"/>
        <v>0</v>
      </c>
      <c r="AL62" s="517">
        <f t="shared" si="53"/>
        <v>0</v>
      </c>
      <c r="AM62" s="517">
        <f t="shared" si="53"/>
        <v>0</v>
      </c>
      <c r="AN62" s="517">
        <f t="shared" si="53"/>
        <v>0</v>
      </c>
      <c r="AO62" s="517">
        <f t="shared" si="53"/>
        <v>0</v>
      </c>
      <c r="AP62" s="517">
        <f t="shared" si="53"/>
        <v>0</v>
      </c>
      <c r="AQ62" s="517">
        <f t="shared" si="53"/>
        <v>0</v>
      </c>
      <c r="AR62" s="517">
        <f t="shared" si="53"/>
        <v>0</v>
      </c>
      <c r="AS62" s="517">
        <f t="shared" si="53"/>
        <v>0</v>
      </c>
      <c r="AT62" s="517">
        <f t="shared" si="53"/>
        <v>0</v>
      </c>
      <c r="AU62" s="517">
        <f t="shared" si="53"/>
        <v>0</v>
      </c>
      <c r="AV62" s="517">
        <f t="shared" ref="AV62:BD62" si="57">ROUNDUP($F62*AV$2,0)</f>
        <v>0</v>
      </c>
      <c r="AW62" s="517">
        <f t="shared" si="57"/>
        <v>0</v>
      </c>
      <c r="AX62" s="517">
        <f t="shared" si="57"/>
        <v>0</v>
      </c>
      <c r="AY62" s="517">
        <f t="shared" si="57"/>
        <v>0</v>
      </c>
      <c r="AZ62" s="517">
        <f t="shared" si="57"/>
        <v>0</v>
      </c>
      <c r="BA62" s="517">
        <f t="shared" si="57"/>
        <v>0</v>
      </c>
      <c r="BB62" s="517">
        <f t="shared" si="57"/>
        <v>0</v>
      </c>
      <c r="BC62" s="517">
        <f t="shared" si="57"/>
        <v>0</v>
      </c>
      <c r="BD62" s="517">
        <f t="shared" si="57"/>
        <v>0</v>
      </c>
      <c r="BE62" s="534">
        <f>SUM(טבלה3441[[#This Row],[1]:[50]])</f>
        <v>0</v>
      </c>
      <c r="BF62" s="534">
        <f>טבלה3441[[#This Row],[סה"כ]]</f>
        <v>0</v>
      </c>
      <c r="BG62" s="576" t="str">
        <f>טבלה3441[[#This Row],[פרודוקטים]]</f>
        <v>פטריות משומרות</v>
      </c>
      <c r="BH62" s="531"/>
      <c r="BI62" s="532"/>
      <c r="BJ62" s="533"/>
      <c r="BK62" s="533"/>
      <c r="BL62" s="533"/>
      <c r="BM62" s="533"/>
    </row>
    <row r="63" spans="1:65" s="518" customFormat="1">
      <c r="A63" s="518" t="s">
        <v>891</v>
      </c>
      <c r="B63" s="518">
        <v>8508</v>
      </c>
      <c r="C63" s="518" t="s">
        <v>406</v>
      </c>
      <c r="D63" s="639" t="s">
        <v>741</v>
      </c>
      <c r="E63" s="639"/>
      <c r="F63" s="523">
        <v>1</v>
      </c>
      <c r="G63" s="517">
        <f t="shared" si="56"/>
        <v>0</v>
      </c>
      <c r="H63" s="517">
        <f t="shared" si="56"/>
        <v>0</v>
      </c>
      <c r="I63" s="517">
        <f t="shared" si="56"/>
        <v>0</v>
      </c>
      <c r="J63" s="517">
        <f t="shared" si="56"/>
        <v>0</v>
      </c>
      <c r="K63" s="517">
        <f t="shared" si="56"/>
        <v>0</v>
      </c>
      <c r="L63" s="517">
        <f t="shared" si="56"/>
        <v>0</v>
      </c>
      <c r="M63" s="517">
        <f t="shared" si="54"/>
        <v>0</v>
      </c>
      <c r="N63" s="517">
        <f t="shared" si="54"/>
        <v>0</v>
      </c>
      <c r="O63" s="517">
        <f t="shared" si="54"/>
        <v>0</v>
      </c>
      <c r="P63" s="517">
        <f t="shared" si="54"/>
        <v>0</v>
      </c>
      <c r="Q63" s="517">
        <f t="shared" si="54"/>
        <v>0</v>
      </c>
      <c r="R63" s="517">
        <f t="shared" si="54"/>
        <v>0</v>
      </c>
      <c r="S63" s="517">
        <f t="shared" si="54"/>
        <v>0</v>
      </c>
      <c r="T63" s="517">
        <f t="shared" si="54"/>
        <v>0</v>
      </c>
      <c r="U63" s="517">
        <f t="shared" si="56"/>
        <v>0</v>
      </c>
      <c r="V63" s="517">
        <f t="shared" si="56"/>
        <v>0</v>
      </c>
      <c r="W63" s="517">
        <f t="shared" ref="W63:BD64" si="58">ROUNDUP($F63*W$2,0)</f>
        <v>0</v>
      </c>
      <c r="X63" s="517">
        <f t="shared" si="58"/>
        <v>0</v>
      </c>
      <c r="Y63" s="517">
        <f t="shared" si="58"/>
        <v>0</v>
      </c>
      <c r="Z63" s="517">
        <f t="shared" si="58"/>
        <v>0</v>
      </c>
      <c r="AA63" s="517">
        <f t="shared" si="58"/>
        <v>0</v>
      </c>
      <c r="AB63" s="517">
        <f t="shared" si="58"/>
        <v>0</v>
      </c>
      <c r="AC63" s="517">
        <f t="shared" si="58"/>
        <v>0</v>
      </c>
      <c r="AD63" s="517">
        <f t="shared" si="58"/>
        <v>0</v>
      </c>
      <c r="AE63" s="517">
        <f t="shared" si="58"/>
        <v>0</v>
      </c>
      <c r="AF63" s="517">
        <f t="shared" si="58"/>
        <v>0</v>
      </c>
      <c r="AG63" s="517">
        <f t="shared" si="58"/>
        <v>0</v>
      </c>
      <c r="AH63" s="517">
        <f t="shared" si="58"/>
        <v>0</v>
      </c>
      <c r="AI63" s="517">
        <f t="shared" si="58"/>
        <v>0</v>
      </c>
      <c r="AJ63" s="517">
        <f t="shared" si="58"/>
        <v>0</v>
      </c>
      <c r="AK63" s="517">
        <f t="shared" si="58"/>
        <v>0</v>
      </c>
      <c r="AL63" s="517">
        <f t="shared" si="58"/>
        <v>0</v>
      </c>
      <c r="AM63" s="517">
        <f t="shared" si="58"/>
        <v>0</v>
      </c>
      <c r="AN63" s="517">
        <f t="shared" si="58"/>
        <v>0</v>
      </c>
      <c r="AO63" s="517">
        <f t="shared" si="58"/>
        <v>0</v>
      </c>
      <c r="AP63" s="517">
        <f t="shared" si="58"/>
        <v>0</v>
      </c>
      <c r="AQ63" s="517">
        <f t="shared" si="58"/>
        <v>0</v>
      </c>
      <c r="AR63" s="517">
        <f t="shared" si="58"/>
        <v>0</v>
      </c>
      <c r="AS63" s="517">
        <f t="shared" si="58"/>
        <v>0</v>
      </c>
      <c r="AT63" s="517">
        <f t="shared" si="58"/>
        <v>0</v>
      </c>
      <c r="AU63" s="517">
        <f t="shared" si="58"/>
        <v>0</v>
      </c>
      <c r="AV63" s="517">
        <f t="shared" si="58"/>
        <v>0</v>
      </c>
      <c r="AW63" s="517">
        <f t="shared" si="58"/>
        <v>0</v>
      </c>
      <c r="AX63" s="517">
        <f t="shared" si="58"/>
        <v>0</v>
      </c>
      <c r="AY63" s="517">
        <f t="shared" si="58"/>
        <v>0</v>
      </c>
      <c r="AZ63" s="517">
        <f t="shared" si="58"/>
        <v>0</v>
      </c>
      <c r="BA63" s="517">
        <f t="shared" si="58"/>
        <v>0</v>
      </c>
      <c r="BB63" s="517">
        <f t="shared" si="58"/>
        <v>0</v>
      </c>
      <c r="BC63" s="517">
        <f t="shared" si="58"/>
        <v>0</v>
      </c>
      <c r="BD63" s="517">
        <f t="shared" si="58"/>
        <v>0</v>
      </c>
      <c r="BE63" s="534">
        <f>SUM(טבלה3441[[#This Row],[1]:[50]])</f>
        <v>0</v>
      </c>
      <c r="BF63" s="534">
        <f>טבלה3441[[#This Row],[סה"כ]]</f>
        <v>0</v>
      </c>
      <c r="BG63" s="576" t="str">
        <f>טבלה3441[[#This Row],[פרודוקטים]]</f>
        <v>פיתה</v>
      </c>
      <c r="BH63" s="531"/>
      <c r="BI63" s="532"/>
      <c r="BJ63" s="533"/>
      <c r="BK63" s="533"/>
      <c r="BL63" s="533"/>
      <c r="BM63" s="533"/>
    </row>
    <row r="64" spans="1:65" s="518" customFormat="1">
      <c r="A64" s="518" t="s">
        <v>891</v>
      </c>
      <c r="B64" s="518">
        <v>6173</v>
      </c>
      <c r="C64" s="518" t="s">
        <v>127</v>
      </c>
      <c r="D64" s="639" t="s">
        <v>895</v>
      </c>
      <c r="E64" s="639"/>
      <c r="F64" s="522">
        <v>120</v>
      </c>
      <c r="G64" s="517">
        <f t="shared" si="56"/>
        <v>0</v>
      </c>
      <c r="H64" s="517">
        <f t="shared" si="56"/>
        <v>0</v>
      </c>
      <c r="I64" s="517">
        <f t="shared" si="56"/>
        <v>0</v>
      </c>
      <c r="J64" s="517">
        <f t="shared" si="56"/>
        <v>0</v>
      </c>
      <c r="K64" s="517">
        <f t="shared" si="56"/>
        <v>0</v>
      </c>
      <c r="L64" s="517">
        <f t="shared" si="56"/>
        <v>0</v>
      </c>
      <c r="M64" s="517">
        <f t="shared" si="54"/>
        <v>0</v>
      </c>
      <c r="N64" s="517">
        <f t="shared" si="54"/>
        <v>0</v>
      </c>
      <c r="O64" s="517">
        <f t="shared" si="54"/>
        <v>0</v>
      </c>
      <c r="P64" s="517">
        <f t="shared" si="54"/>
        <v>0</v>
      </c>
      <c r="Q64" s="517">
        <f t="shared" si="54"/>
        <v>0</v>
      </c>
      <c r="R64" s="517">
        <f t="shared" si="54"/>
        <v>0</v>
      </c>
      <c r="S64" s="517">
        <f t="shared" si="54"/>
        <v>0</v>
      </c>
      <c r="T64" s="517">
        <f t="shared" si="54"/>
        <v>0</v>
      </c>
      <c r="U64" s="517">
        <f t="shared" si="56"/>
        <v>0</v>
      </c>
      <c r="V64" s="517">
        <f t="shared" si="56"/>
        <v>0</v>
      </c>
      <c r="W64" s="517">
        <f t="shared" si="58"/>
        <v>0</v>
      </c>
      <c r="X64" s="517">
        <f t="shared" si="58"/>
        <v>0</v>
      </c>
      <c r="Y64" s="517">
        <f t="shared" si="58"/>
        <v>0</v>
      </c>
      <c r="Z64" s="517">
        <f t="shared" si="58"/>
        <v>0</v>
      </c>
      <c r="AA64" s="517">
        <f t="shared" si="58"/>
        <v>0</v>
      </c>
      <c r="AB64" s="517">
        <f t="shared" si="58"/>
        <v>0</v>
      </c>
      <c r="AC64" s="517">
        <f t="shared" si="58"/>
        <v>0</v>
      </c>
      <c r="AD64" s="517">
        <f t="shared" si="58"/>
        <v>0</v>
      </c>
      <c r="AE64" s="517">
        <f t="shared" si="58"/>
        <v>0</v>
      </c>
      <c r="AF64" s="517">
        <f t="shared" si="58"/>
        <v>0</v>
      </c>
      <c r="AG64" s="517">
        <f t="shared" si="58"/>
        <v>0</v>
      </c>
      <c r="AH64" s="517">
        <f t="shared" si="58"/>
        <v>0</v>
      </c>
      <c r="AI64" s="517">
        <f t="shared" si="58"/>
        <v>0</v>
      </c>
      <c r="AJ64" s="517">
        <f t="shared" si="58"/>
        <v>0</v>
      </c>
      <c r="AK64" s="517">
        <f t="shared" si="58"/>
        <v>0</v>
      </c>
      <c r="AL64" s="517">
        <f t="shared" si="58"/>
        <v>0</v>
      </c>
      <c r="AM64" s="517">
        <f t="shared" si="58"/>
        <v>0</v>
      </c>
      <c r="AN64" s="517">
        <f t="shared" si="58"/>
        <v>0</v>
      </c>
      <c r="AO64" s="517">
        <f t="shared" si="58"/>
        <v>0</v>
      </c>
      <c r="AP64" s="517">
        <f t="shared" si="58"/>
        <v>0</v>
      </c>
      <c r="AQ64" s="517">
        <f t="shared" si="58"/>
        <v>0</v>
      </c>
      <c r="AR64" s="517">
        <f t="shared" si="58"/>
        <v>0</v>
      </c>
      <c r="AS64" s="517">
        <f t="shared" si="58"/>
        <v>0</v>
      </c>
      <c r="AT64" s="517">
        <f t="shared" si="58"/>
        <v>0</v>
      </c>
      <c r="AU64" s="517">
        <f t="shared" si="58"/>
        <v>0</v>
      </c>
      <c r="AV64" s="517">
        <f t="shared" si="58"/>
        <v>0</v>
      </c>
      <c r="AW64" s="517">
        <f t="shared" si="58"/>
        <v>0</v>
      </c>
      <c r="AX64" s="517">
        <f t="shared" si="58"/>
        <v>0</v>
      </c>
      <c r="AY64" s="517">
        <f t="shared" si="58"/>
        <v>0</v>
      </c>
      <c r="AZ64" s="517">
        <f t="shared" si="58"/>
        <v>0</v>
      </c>
      <c r="BA64" s="517">
        <f t="shared" si="58"/>
        <v>0</v>
      </c>
      <c r="BB64" s="517">
        <f t="shared" si="58"/>
        <v>0</v>
      </c>
      <c r="BC64" s="517">
        <f t="shared" si="58"/>
        <v>0</v>
      </c>
      <c r="BD64" s="517">
        <f t="shared" si="58"/>
        <v>0</v>
      </c>
      <c r="BE64" s="534">
        <f>SUM(טבלה3441[[#This Row],[1]:[50]])</f>
        <v>0</v>
      </c>
      <c r="BF64" s="534">
        <f>CEILING(טבלה3441[[#This Row],[סה"כ]],500)/500</f>
        <v>0</v>
      </c>
      <c r="BG64" s="576" t="str">
        <f>טבלה3441[[#This Row],[פרודוקטים]]</f>
        <v>פלאפל</v>
      </c>
      <c r="BH64" s="531"/>
      <c r="BI64" s="532"/>
      <c r="BJ64" s="533"/>
      <c r="BK64" s="533"/>
      <c r="BL64" s="533"/>
      <c r="BM64" s="533"/>
    </row>
    <row r="65" spans="1:65" s="518" customFormat="1">
      <c r="A65" s="518" t="s">
        <v>891</v>
      </c>
      <c r="B65" s="518">
        <v>11710</v>
      </c>
      <c r="C65" s="518" t="s">
        <v>112</v>
      </c>
      <c r="D65" s="639" t="s">
        <v>629</v>
      </c>
      <c r="E65" s="639"/>
      <c r="F65" s="522">
        <v>1</v>
      </c>
      <c r="G65" s="517">
        <f>ROUNDUP($F65*G$5,0)</f>
        <v>0</v>
      </c>
      <c r="H65" s="517">
        <f t="shared" ref="H65:BD65" si="59">ROUNDUP($F65*H$5,0)</f>
        <v>0</v>
      </c>
      <c r="I65" s="517">
        <f t="shared" si="59"/>
        <v>0</v>
      </c>
      <c r="J65" s="517">
        <f t="shared" si="59"/>
        <v>0</v>
      </c>
      <c r="K65" s="517">
        <f t="shared" si="59"/>
        <v>0</v>
      </c>
      <c r="L65" s="517">
        <f t="shared" si="59"/>
        <v>0</v>
      </c>
      <c r="M65" s="517">
        <f t="shared" si="59"/>
        <v>0</v>
      </c>
      <c r="N65" s="517">
        <f t="shared" si="59"/>
        <v>0</v>
      </c>
      <c r="O65" s="517">
        <f t="shared" si="59"/>
        <v>0</v>
      </c>
      <c r="P65" s="517">
        <f t="shared" si="59"/>
        <v>0</v>
      </c>
      <c r="Q65" s="517">
        <f t="shared" si="59"/>
        <v>0</v>
      </c>
      <c r="R65" s="517">
        <f t="shared" si="59"/>
        <v>0</v>
      </c>
      <c r="S65" s="517">
        <f t="shared" si="59"/>
        <v>0</v>
      </c>
      <c r="T65" s="517">
        <f t="shared" si="59"/>
        <v>0</v>
      </c>
      <c r="U65" s="517">
        <f t="shared" si="59"/>
        <v>0</v>
      </c>
      <c r="V65" s="517">
        <f t="shared" si="59"/>
        <v>0</v>
      </c>
      <c r="W65" s="517">
        <f t="shared" si="59"/>
        <v>0</v>
      </c>
      <c r="X65" s="517">
        <f t="shared" si="59"/>
        <v>0</v>
      </c>
      <c r="Y65" s="517">
        <f t="shared" si="59"/>
        <v>0</v>
      </c>
      <c r="Z65" s="517">
        <f t="shared" si="59"/>
        <v>0</v>
      </c>
      <c r="AA65" s="517">
        <f t="shared" si="59"/>
        <v>0</v>
      </c>
      <c r="AB65" s="517">
        <f t="shared" si="59"/>
        <v>0</v>
      </c>
      <c r="AC65" s="517">
        <f t="shared" si="59"/>
        <v>0</v>
      </c>
      <c r="AD65" s="517">
        <f t="shared" si="59"/>
        <v>0</v>
      </c>
      <c r="AE65" s="517">
        <f t="shared" si="59"/>
        <v>0</v>
      </c>
      <c r="AF65" s="517">
        <f t="shared" si="59"/>
        <v>0</v>
      </c>
      <c r="AG65" s="517">
        <f t="shared" si="59"/>
        <v>0</v>
      </c>
      <c r="AH65" s="517">
        <f t="shared" si="59"/>
        <v>0</v>
      </c>
      <c r="AI65" s="517">
        <f t="shared" si="59"/>
        <v>0</v>
      </c>
      <c r="AJ65" s="517">
        <f t="shared" si="59"/>
        <v>0</v>
      </c>
      <c r="AK65" s="517">
        <f t="shared" si="59"/>
        <v>0</v>
      </c>
      <c r="AL65" s="517">
        <f t="shared" si="59"/>
        <v>0</v>
      </c>
      <c r="AM65" s="517">
        <f t="shared" si="59"/>
        <v>0</v>
      </c>
      <c r="AN65" s="517">
        <f t="shared" si="59"/>
        <v>0</v>
      </c>
      <c r="AO65" s="517">
        <f t="shared" si="59"/>
        <v>0</v>
      </c>
      <c r="AP65" s="517">
        <f t="shared" si="59"/>
        <v>0</v>
      </c>
      <c r="AQ65" s="517">
        <f t="shared" si="59"/>
        <v>0</v>
      </c>
      <c r="AR65" s="517">
        <f t="shared" si="59"/>
        <v>0</v>
      </c>
      <c r="AS65" s="517">
        <f t="shared" si="59"/>
        <v>0</v>
      </c>
      <c r="AT65" s="517">
        <f t="shared" si="59"/>
        <v>0</v>
      </c>
      <c r="AU65" s="517">
        <f t="shared" si="59"/>
        <v>0</v>
      </c>
      <c r="AV65" s="517">
        <f t="shared" si="59"/>
        <v>0</v>
      </c>
      <c r="AW65" s="517">
        <f t="shared" si="59"/>
        <v>0</v>
      </c>
      <c r="AX65" s="517">
        <f t="shared" si="59"/>
        <v>0</v>
      </c>
      <c r="AY65" s="517">
        <f t="shared" si="59"/>
        <v>0</v>
      </c>
      <c r="AZ65" s="517">
        <f t="shared" si="59"/>
        <v>0</v>
      </c>
      <c r="BA65" s="517">
        <f t="shared" si="59"/>
        <v>0</v>
      </c>
      <c r="BB65" s="517">
        <f t="shared" si="59"/>
        <v>0</v>
      </c>
      <c r="BC65" s="517">
        <f t="shared" si="59"/>
        <v>0</v>
      </c>
      <c r="BD65" s="517">
        <f t="shared" si="59"/>
        <v>0</v>
      </c>
      <c r="BE65" s="534">
        <f>SUM(טבלה3441[[#This Row],[1]:[50]])</f>
        <v>0</v>
      </c>
      <c r="BF65" s="534">
        <f>טבלה3441[[#This Row],[סה"כ]]</f>
        <v>0</v>
      </c>
      <c r="BG65" s="576" t="str">
        <f>טבלה3441[[#This Row],[פרודוקטים]]</f>
        <v>מנה צליאק</v>
      </c>
      <c r="BH65" s="531"/>
      <c r="BI65" s="532"/>
      <c r="BJ65" s="533"/>
      <c r="BK65" s="533"/>
      <c r="BL65" s="533"/>
      <c r="BM65" s="533"/>
    </row>
    <row r="66" spans="1:65" s="518" customFormat="1">
      <c r="A66" s="518" t="s">
        <v>891</v>
      </c>
      <c r="B66" s="518">
        <v>6689</v>
      </c>
      <c r="C66" s="518" t="s">
        <v>25</v>
      </c>
      <c r="D66" s="639" t="s">
        <v>889</v>
      </c>
      <c r="E66" s="639"/>
      <c r="F66" s="523">
        <f>1/20</f>
        <v>0.05</v>
      </c>
      <c r="G66" s="517">
        <f>ROUNDUP($F66*G$2,0)</f>
        <v>0</v>
      </c>
      <c r="H66" s="517">
        <f t="shared" ref="H66:BD66" si="60">ROUNDUP($F66*H$2,0)</f>
        <v>0</v>
      </c>
      <c r="I66" s="517">
        <f t="shared" si="60"/>
        <v>0</v>
      </c>
      <c r="J66" s="517">
        <f t="shared" si="60"/>
        <v>0</v>
      </c>
      <c r="K66" s="517">
        <f t="shared" si="60"/>
        <v>0</v>
      </c>
      <c r="L66" s="517">
        <f t="shared" si="60"/>
        <v>0</v>
      </c>
      <c r="M66" s="517">
        <f t="shared" ref="M66:T66" si="61">ROUNDUP($F66*M$2,0)</f>
        <v>0</v>
      </c>
      <c r="N66" s="517">
        <f t="shared" si="61"/>
        <v>0</v>
      </c>
      <c r="O66" s="517">
        <f t="shared" si="61"/>
        <v>0</v>
      </c>
      <c r="P66" s="517">
        <f t="shared" si="61"/>
        <v>0</v>
      </c>
      <c r="Q66" s="517">
        <f t="shared" si="61"/>
        <v>0</v>
      </c>
      <c r="R66" s="517">
        <f t="shared" si="61"/>
        <v>0</v>
      </c>
      <c r="S66" s="517">
        <f t="shared" si="61"/>
        <v>0</v>
      </c>
      <c r="T66" s="517">
        <f t="shared" si="61"/>
        <v>0</v>
      </c>
      <c r="U66" s="517">
        <f t="shared" si="60"/>
        <v>0</v>
      </c>
      <c r="V66" s="517">
        <f t="shared" si="60"/>
        <v>0</v>
      </c>
      <c r="W66" s="517">
        <f t="shared" si="60"/>
        <v>0</v>
      </c>
      <c r="X66" s="517">
        <f t="shared" si="60"/>
        <v>0</v>
      </c>
      <c r="Y66" s="517">
        <f t="shared" si="60"/>
        <v>0</v>
      </c>
      <c r="Z66" s="517">
        <f t="shared" si="60"/>
        <v>0</v>
      </c>
      <c r="AA66" s="517">
        <f t="shared" si="60"/>
        <v>0</v>
      </c>
      <c r="AB66" s="517">
        <f t="shared" si="60"/>
        <v>0</v>
      </c>
      <c r="AC66" s="517">
        <f t="shared" si="60"/>
        <v>0</v>
      </c>
      <c r="AD66" s="517">
        <f t="shared" si="60"/>
        <v>0</v>
      </c>
      <c r="AE66" s="517">
        <f t="shared" si="60"/>
        <v>0</v>
      </c>
      <c r="AF66" s="517">
        <f t="shared" si="60"/>
        <v>0</v>
      </c>
      <c r="AG66" s="517">
        <f t="shared" si="60"/>
        <v>0</v>
      </c>
      <c r="AH66" s="517">
        <f t="shared" si="60"/>
        <v>0</v>
      </c>
      <c r="AI66" s="517">
        <f t="shared" si="60"/>
        <v>0</v>
      </c>
      <c r="AJ66" s="517">
        <f t="shared" si="60"/>
        <v>0</v>
      </c>
      <c r="AK66" s="517">
        <f t="shared" si="60"/>
        <v>0</v>
      </c>
      <c r="AL66" s="517">
        <f t="shared" si="60"/>
        <v>0</v>
      </c>
      <c r="AM66" s="517">
        <f t="shared" si="60"/>
        <v>0</v>
      </c>
      <c r="AN66" s="517">
        <f t="shared" si="60"/>
        <v>0</v>
      </c>
      <c r="AO66" s="517">
        <f t="shared" si="60"/>
        <v>0</v>
      </c>
      <c r="AP66" s="517">
        <f t="shared" si="60"/>
        <v>0</v>
      </c>
      <c r="AQ66" s="517">
        <f t="shared" si="60"/>
        <v>0</v>
      </c>
      <c r="AR66" s="517">
        <f t="shared" si="60"/>
        <v>0</v>
      </c>
      <c r="AS66" s="517">
        <f t="shared" si="60"/>
        <v>0</v>
      </c>
      <c r="AT66" s="517">
        <f t="shared" si="60"/>
        <v>0</v>
      </c>
      <c r="AU66" s="517">
        <f t="shared" si="60"/>
        <v>0</v>
      </c>
      <c r="AV66" s="517">
        <f t="shared" si="60"/>
        <v>0</v>
      </c>
      <c r="AW66" s="517">
        <f t="shared" si="60"/>
        <v>0</v>
      </c>
      <c r="AX66" s="517">
        <f t="shared" si="60"/>
        <v>0</v>
      </c>
      <c r="AY66" s="517">
        <f t="shared" si="60"/>
        <v>0</v>
      </c>
      <c r="AZ66" s="517">
        <f t="shared" si="60"/>
        <v>0</v>
      </c>
      <c r="BA66" s="517">
        <f t="shared" si="60"/>
        <v>0</v>
      </c>
      <c r="BB66" s="517">
        <f t="shared" si="60"/>
        <v>0</v>
      </c>
      <c r="BC66" s="517">
        <f t="shared" si="60"/>
        <v>0</v>
      </c>
      <c r="BD66" s="517">
        <f t="shared" si="60"/>
        <v>0</v>
      </c>
      <c r="BE66" s="534">
        <f>SUM(טבלה3441[[#This Row],[1]:[50]])</f>
        <v>0</v>
      </c>
      <c r="BF66" s="534">
        <f>טבלה3441[[#This Row],[סה"כ]]</f>
        <v>0</v>
      </c>
      <c r="BG66" s="576" t="str">
        <f>טבלה3441[[#This Row],[פרודוקטים]]</f>
        <v>שמן</v>
      </c>
      <c r="BH66" s="531"/>
      <c r="BI66" s="532"/>
      <c r="BJ66" s="533"/>
      <c r="BK66" s="533"/>
      <c r="BL66" s="533"/>
      <c r="BM66" s="533"/>
    </row>
    <row r="67" spans="1:65" s="518" customFormat="1">
      <c r="A67" s="518" t="s">
        <v>891</v>
      </c>
      <c r="B67" s="518">
        <v>6600</v>
      </c>
      <c r="C67" s="518" t="s">
        <v>106</v>
      </c>
      <c r="D67" s="639" t="s">
        <v>924</v>
      </c>
      <c r="E67" s="639"/>
      <c r="F67" s="523">
        <v>50</v>
      </c>
      <c r="G67" s="517">
        <f>IF(G$2&gt;0,$F67,0)</f>
        <v>0</v>
      </c>
      <c r="H67" s="517">
        <f t="shared" ref="H67:BD68" si="62">IF(H$2&gt;0,$F67,0)</f>
        <v>0</v>
      </c>
      <c r="I67" s="517">
        <f t="shared" si="62"/>
        <v>0</v>
      </c>
      <c r="J67" s="517">
        <f t="shared" si="62"/>
        <v>0</v>
      </c>
      <c r="K67" s="517">
        <f t="shared" si="62"/>
        <v>0</v>
      </c>
      <c r="L67" s="517">
        <f t="shared" si="62"/>
        <v>0</v>
      </c>
      <c r="M67" s="517">
        <f t="shared" ref="M67:T68" si="63">IF(M$2&gt;0,$F67,0)</f>
        <v>0</v>
      </c>
      <c r="N67" s="517">
        <f t="shared" si="63"/>
        <v>0</v>
      </c>
      <c r="O67" s="517">
        <f t="shared" si="63"/>
        <v>0</v>
      </c>
      <c r="P67" s="517">
        <f t="shared" si="63"/>
        <v>0</v>
      </c>
      <c r="Q67" s="517">
        <f t="shared" si="63"/>
        <v>0</v>
      </c>
      <c r="R67" s="517">
        <f t="shared" si="63"/>
        <v>0</v>
      </c>
      <c r="S67" s="517">
        <f t="shared" si="63"/>
        <v>0</v>
      </c>
      <c r="T67" s="517">
        <f t="shared" si="63"/>
        <v>0</v>
      </c>
      <c r="U67" s="517">
        <f t="shared" si="62"/>
        <v>0</v>
      </c>
      <c r="V67" s="517">
        <f t="shared" si="62"/>
        <v>0</v>
      </c>
      <c r="W67" s="517">
        <f t="shared" si="62"/>
        <v>0</v>
      </c>
      <c r="X67" s="517">
        <f t="shared" si="62"/>
        <v>0</v>
      </c>
      <c r="Y67" s="517">
        <f t="shared" si="62"/>
        <v>0</v>
      </c>
      <c r="Z67" s="517">
        <f t="shared" si="62"/>
        <v>0</v>
      </c>
      <c r="AA67" s="517">
        <f t="shared" si="62"/>
        <v>0</v>
      </c>
      <c r="AB67" s="517">
        <f t="shared" si="62"/>
        <v>0</v>
      </c>
      <c r="AC67" s="517">
        <f t="shared" si="62"/>
        <v>0</v>
      </c>
      <c r="AD67" s="517">
        <f t="shared" si="62"/>
        <v>0</v>
      </c>
      <c r="AE67" s="517">
        <f t="shared" si="62"/>
        <v>0</v>
      </c>
      <c r="AF67" s="517">
        <f t="shared" si="62"/>
        <v>0</v>
      </c>
      <c r="AG67" s="517">
        <f t="shared" si="62"/>
        <v>0</v>
      </c>
      <c r="AH67" s="517">
        <f t="shared" si="62"/>
        <v>0</v>
      </c>
      <c r="AI67" s="517">
        <f t="shared" si="62"/>
        <v>0</v>
      </c>
      <c r="AJ67" s="517">
        <f t="shared" si="62"/>
        <v>0</v>
      </c>
      <c r="AK67" s="517">
        <f t="shared" si="62"/>
        <v>0</v>
      </c>
      <c r="AL67" s="517">
        <f t="shared" si="62"/>
        <v>0</v>
      </c>
      <c r="AM67" s="517">
        <f t="shared" si="62"/>
        <v>0</v>
      </c>
      <c r="AN67" s="517">
        <f t="shared" si="62"/>
        <v>0</v>
      </c>
      <c r="AO67" s="517">
        <f t="shared" si="62"/>
        <v>0</v>
      </c>
      <c r="AP67" s="517">
        <f t="shared" si="62"/>
        <v>0</v>
      </c>
      <c r="AQ67" s="517">
        <f t="shared" si="62"/>
        <v>0</v>
      </c>
      <c r="AR67" s="517">
        <f t="shared" si="62"/>
        <v>0</v>
      </c>
      <c r="AS67" s="517">
        <f t="shared" si="62"/>
        <v>0</v>
      </c>
      <c r="AT67" s="517">
        <f t="shared" si="62"/>
        <v>0</v>
      </c>
      <c r="AU67" s="517">
        <f t="shared" si="62"/>
        <v>0</v>
      </c>
      <c r="AV67" s="517">
        <f t="shared" si="62"/>
        <v>0</v>
      </c>
      <c r="AW67" s="517">
        <f t="shared" si="62"/>
        <v>0</v>
      </c>
      <c r="AX67" s="517">
        <f t="shared" si="62"/>
        <v>0</v>
      </c>
      <c r="AY67" s="517">
        <f t="shared" si="62"/>
        <v>0</v>
      </c>
      <c r="AZ67" s="517">
        <f t="shared" si="62"/>
        <v>0</v>
      </c>
      <c r="BA67" s="517">
        <f t="shared" si="62"/>
        <v>0</v>
      </c>
      <c r="BB67" s="517">
        <f t="shared" si="62"/>
        <v>0</v>
      </c>
      <c r="BC67" s="517">
        <f t="shared" si="62"/>
        <v>0</v>
      </c>
      <c r="BD67" s="517">
        <f t="shared" si="62"/>
        <v>0</v>
      </c>
      <c r="BE67" s="534">
        <f>SUM(טבלה3441[[#This Row],[1]:[50]])</f>
        <v>0</v>
      </c>
      <c r="BF67" s="538">
        <f>CEILING(טבלה3441[[#This Row],[סה"כ]],1000)/1000</f>
        <v>0</v>
      </c>
      <c r="BG67" s="576" t="str">
        <f>טבלה3441[[#This Row],[פרודוקטים]]</f>
        <v>מלח</v>
      </c>
      <c r="BH67" s="531"/>
      <c r="BI67" s="532"/>
      <c r="BJ67" s="533"/>
      <c r="BK67" s="533"/>
      <c r="BL67" s="533"/>
      <c r="BM67" s="533"/>
    </row>
    <row r="68" spans="1:65" s="518" customFormat="1">
      <c r="A68" s="518" t="s">
        <v>891</v>
      </c>
      <c r="B68" s="518">
        <v>688</v>
      </c>
      <c r="C68" s="518" t="s">
        <v>727</v>
      </c>
      <c r="D68" s="639" t="s">
        <v>925</v>
      </c>
      <c r="E68" s="639"/>
      <c r="F68" s="523">
        <v>20</v>
      </c>
      <c r="G68" s="517">
        <f>IF(G$2&gt;0,$F68,0)</f>
        <v>0</v>
      </c>
      <c r="H68" s="517">
        <f t="shared" si="62"/>
        <v>0</v>
      </c>
      <c r="I68" s="517">
        <f t="shared" si="62"/>
        <v>0</v>
      </c>
      <c r="J68" s="517">
        <f t="shared" si="62"/>
        <v>0</v>
      </c>
      <c r="K68" s="517">
        <f t="shared" si="62"/>
        <v>0</v>
      </c>
      <c r="L68" s="517">
        <f t="shared" si="62"/>
        <v>0</v>
      </c>
      <c r="M68" s="517">
        <f t="shared" si="63"/>
        <v>0</v>
      </c>
      <c r="N68" s="517">
        <f t="shared" si="63"/>
        <v>0</v>
      </c>
      <c r="O68" s="517">
        <f t="shared" si="63"/>
        <v>0</v>
      </c>
      <c r="P68" s="517">
        <f t="shared" si="63"/>
        <v>0</v>
      </c>
      <c r="Q68" s="517">
        <f t="shared" si="63"/>
        <v>0</v>
      </c>
      <c r="R68" s="517">
        <f t="shared" si="63"/>
        <v>0</v>
      </c>
      <c r="S68" s="517">
        <f t="shared" si="63"/>
        <v>0</v>
      </c>
      <c r="T68" s="517">
        <f t="shared" si="63"/>
        <v>0</v>
      </c>
      <c r="U68" s="517">
        <f t="shared" si="62"/>
        <v>0</v>
      </c>
      <c r="V68" s="517">
        <f t="shared" si="62"/>
        <v>0</v>
      </c>
      <c r="W68" s="517">
        <f t="shared" si="62"/>
        <v>0</v>
      </c>
      <c r="X68" s="517">
        <f t="shared" si="62"/>
        <v>0</v>
      </c>
      <c r="Y68" s="517">
        <f t="shared" si="62"/>
        <v>0</v>
      </c>
      <c r="Z68" s="517">
        <f t="shared" si="62"/>
        <v>0</v>
      </c>
      <c r="AA68" s="517">
        <f t="shared" si="62"/>
        <v>0</v>
      </c>
      <c r="AB68" s="517">
        <f t="shared" si="62"/>
        <v>0</v>
      </c>
      <c r="AC68" s="517">
        <f t="shared" si="62"/>
        <v>0</v>
      </c>
      <c r="AD68" s="517">
        <f t="shared" si="62"/>
        <v>0</v>
      </c>
      <c r="AE68" s="517">
        <f t="shared" si="62"/>
        <v>0</v>
      </c>
      <c r="AF68" s="517">
        <f t="shared" si="62"/>
        <v>0</v>
      </c>
      <c r="AG68" s="517">
        <f t="shared" si="62"/>
        <v>0</v>
      </c>
      <c r="AH68" s="517">
        <f t="shared" si="62"/>
        <v>0</v>
      </c>
      <c r="AI68" s="517">
        <f t="shared" si="62"/>
        <v>0</v>
      </c>
      <c r="AJ68" s="517">
        <f t="shared" si="62"/>
        <v>0</v>
      </c>
      <c r="AK68" s="517">
        <f t="shared" si="62"/>
        <v>0</v>
      </c>
      <c r="AL68" s="517">
        <f t="shared" si="62"/>
        <v>0</v>
      </c>
      <c r="AM68" s="517">
        <f t="shared" si="62"/>
        <v>0</v>
      </c>
      <c r="AN68" s="517">
        <f t="shared" si="62"/>
        <v>0</v>
      </c>
      <c r="AO68" s="517">
        <f t="shared" si="62"/>
        <v>0</v>
      </c>
      <c r="AP68" s="517">
        <f t="shared" si="62"/>
        <v>0</v>
      </c>
      <c r="AQ68" s="517">
        <f t="shared" si="62"/>
        <v>0</v>
      </c>
      <c r="AR68" s="517">
        <f t="shared" si="62"/>
        <v>0</v>
      </c>
      <c r="AS68" s="517">
        <f t="shared" si="62"/>
        <v>0</v>
      </c>
      <c r="AT68" s="517">
        <f t="shared" si="62"/>
        <v>0</v>
      </c>
      <c r="AU68" s="517">
        <f t="shared" si="62"/>
        <v>0</v>
      </c>
      <c r="AV68" s="517">
        <f t="shared" si="62"/>
        <v>0</v>
      </c>
      <c r="AW68" s="517">
        <f t="shared" si="62"/>
        <v>0</v>
      </c>
      <c r="AX68" s="517">
        <f t="shared" si="62"/>
        <v>0</v>
      </c>
      <c r="AY68" s="517">
        <f t="shared" si="62"/>
        <v>0</v>
      </c>
      <c r="AZ68" s="517">
        <f t="shared" si="62"/>
        <v>0</v>
      </c>
      <c r="BA68" s="517">
        <f t="shared" si="62"/>
        <v>0</v>
      </c>
      <c r="BB68" s="517">
        <f t="shared" si="62"/>
        <v>0</v>
      </c>
      <c r="BC68" s="517">
        <f t="shared" si="62"/>
        <v>0</v>
      </c>
      <c r="BD68" s="517">
        <f t="shared" si="62"/>
        <v>0</v>
      </c>
      <c r="BE68" s="534">
        <f>SUM(טבלה3441[[#This Row],[1]:[50]])</f>
        <v>0</v>
      </c>
      <c r="BF68" s="538">
        <f>CEILING(טבלה3441[[#This Row],[סה"כ]],1000)/1000</f>
        <v>0</v>
      </c>
      <c r="BG68" s="576" t="str">
        <f>טבלה3441[[#This Row],[פרודוקטים]]</f>
        <v>פלפל</v>
      </c>
      <c r="BH68" s="531"/>
      <c r="BI68" s="532"/>
      <c r="BJ68" s="533"/>
      <c r="BK68" s="533"/>
      <c r="BL68" s="533"/>
      <c r="BM68" s="533"/>
    </row>
    <row r="69" spans="1:65" s="518" customFormat="1">
      <c r="A69" s="518" t="s">
        <v>891</v>
      </c>
      <c r="B69" s="518" t="s">
        <v>574</v>
      </c>
      <c r="C69" s="518" t="s">
        <v>32</v>
      </c>
      <c r="D69" s="639" t="s">
        <v>729</v>
      </c>
      <c r="E69" s="639"/>
      <c r="F69" s="522">
        <v>1.2</v>
      </c>
      <c r="G69" s="517">
        <f>ROUNDUP($F69*G$2,0)</f>
        <v>0</v>
      </c>
      <c r="H69" s="517">
        <f t="shared" ref="H69:BD72" si="64">ROUNDUP($F69*H$2,0)</f>
        <v>0</v>
      </c>
      <c r="I69" s="517">
        <f t="shared" si="64"/>
        <v>0</v>
      </c>
      <c r="J69" s="517">
        <f t="shared" si="64"/>
        <v>0</v>
      </c>
      <c r="K69" s="517">
        <f t="shared" si="64"/>
        <v>0</v>
      </c>
      <c r="L69" s="517">
        <f t="shared" si="64"/>
        <v>0</v>
      </c>
      <c r="M69" s="517">
        <f t="shared" ref="M69:T72" si="65">ROUNDUP($F69*M$2,0)</f>
        <v>0</v>
      </c>
      <c r="N69" s="517">
        <f t="shared" si="65"/>
        <v>0</v>
      </c>
      <c r="O69" s="517">
        <f t="shared" si="65"/>
        <v>0</v>
      </c>
      <c r="P69" s="517">
        <f t="shared" si="65"/>
        <v>0</v>
      </c>
      <c r="Q69" s="517">
        <f t="shared" si="65"/>
        <v>0</v>
      </c>
      <c r="R69" s="517">
        <f t="shared" si="65"/>
        <v>0</v>
      </c>
      <c r="S69" s="517">
        <f t="shared" si="65"/>
        <v>0</v>
      </c>
      <c r="T69" s="517">
        <f t="shared" si="65"/>
        <v>0</v>
      </c>
      <c r="U69" s="517">
        <f t="shared" si="64"/>
        <v>0</v>
      </c>
      <c r="V69" s="517">
        <f t="shared" si="64"/>
        <v>0</v>
      </c>
      <c r="W69" s="517">
        <f t="shared" si="64"/>
        <v>0</v>
      </c>
      <c r="X69" s="517">
        <f t="shared" si="64"/>
        <v>0</v>
      </c>
      <c r="Y69" s="517">
        <f t="shared" si="64"/>
        <v>0</v>
      </c>
      <c r="Z69" s="517">
        <f t="shared" si="64"/>
        <v>0</v>
      </c>
      <c r="AA69" s="517">
        <f t="shared" si="64"/>
        <v>0</v>
      </c>
      <c r="AB69" s="517">
        <f t="shared" si="64"/>
        <v>0</v>
      </c>
      <c r="AC69" s="517">
        <f t="shared" si="64"/>
        <v>0</v>
      </c>
      <c r="AD69" s="517">
        <f t="shared" si="64"/>
        <v>0</v>
      </c>
      <c r="AE69" s="517">
        <f t="shared" si="64"/>
        <v>0</v>
      </c>
      <c r="AF69" s="517">
        <f t="shared" si="64"/>
        <v>0</v>
      </c>
      <c r="AG69" s="517">
        <f t="shared" si="64"/>
        <v>0</v>
      </c>
      <c r="AH69" s="517">
        <f t="shared" si="64"/>
        <v>0</v>
      </c>
      <c r="AI69" s="517">
        <f t="shared" si="64"/>
        <v>0</v>
      </c>
      <c r="AJ69" s="517">
        <f t="shared" si="64"/>
        <v>0</v>
      </c>
      <c r="AK69" s="517">
        <f t="shared" si="64"/>
        <v>0</v>
      </c>
      <c r="AL69" s="517">
        <f t="shared" si="64"/>
        <v>0</v>
      </c>
      <c r="AM69" s="517">
        <f t="shared" si="64"/>
        <v>0</v>
      </c>
      <c r="AN69" s="517">
        <f t="shared" si="64"/>
        <v>0</v>
      </c>
      <c r="AO69" s="517">
        <f t="shared" si="64"/>
        <v>0</v>
      </c>
      <c r="AP69" s="517">
        <f t="shared" si="64"/>
        <v>0</v>
      </c>
      <c r="AQ69" s="517">
        <f t="shared" si="64"/>
        <v>0</v>
      </c>
      <c r="AR69" s="517">
        <f t="shared" si="64"/>
        <v>0</v>
      </c>
      <c r="AS69" s="517">
        <f t="shared" si="64"/>
        <v>0</v>
      </c>
      <c r="AT69" s="517">
        <f t="shared" si="64"/>
        <v>0</v>
      </c>
      <c r="AU69" s="517">
        <f t="shared" si="64"/>
        <v>0</v>
      </c>
      <c r="AV69" s="517">
        <f t="shared" si="64"/>
        <v>0</v>
      </c>
      <c r="AW69" s="517">
        <f t="shared" si="64"/>
        <v>0</v>
      </c>
      <c r="AX69" s="517">
        <f t="shared" si="64"/>
        <v>0</v>
      </c>
      <c r="AY69" s="517">
        <f t="shared" si="64"/>
        <v>0</v>
      </c>
      <c r="AZ69" s="517">
        <f t="shared" si="64"/>
        <v>0</v>
      </c>
      <c r="BA69" s="517">
        <f t="shared" si="64"/>
        <v>0</v>
      </c>
      <c r="BB69" s="517">
        <f t="shared" si="64"/>
        <v>0</v>
      </c>
      <c r="BC69" s="517">
        <f t="shared" si="64"/>
        <v>0</v>
      </c>
      <c r="BD69" s="517">
        <f t="shared" si="64"/>
        <v>0</v>
      </c>
      <c r="BE69" s="534">
        <f>SUM(טבלה3441[[#This Row],[1]:[50]])</f>
        <v>0</v>
      </c>
      <c r="BF69" s="534">
        <f>CEILING(טבלה3441[[#This Row],[סה"כ]],100)</f>
        <v>0</v>
      </c>
      <c r="BG69" s="576" t="str">
        <f>טבלה3441[[#This Row],[פרודוקטים]]</f>
        <v>סכין</v>
      </c>
      <c r="BH69" s="531"/>
      <c r="BI69" s="532"/>
      <c r="BJ69" s="533"/>
      <c r="BK69" s="533"/>
      <c r="BL69" s="533"/>
      <c r="BM69" s="533"/>
    </row>
    <row r="70" spans="1:65" s="518" customFormat="1">
      <c r="A70" s="518" t="s">
        <v>891</v>
      </c>
      <c r="B70" s="518" t="s">
        <v>575</v>
      </c>
      <c r="C70" s="518" t="s">
        <v>33</v>
      </c>
      <c r="D70" s="639" t="s">
        <v>729</v>
      </c>
      <c r="E70" s="639"/>
      <c r="F70" s="522">
        <v>1.2</v>
      </c>
      <c r="G70" s="517">
        <f>ROUNDUP($F70*G$2,0)</f>
        <v>0</v>
      </c>
      <c r="H70" s="517">
        <f t="shared" si="64"/>
        <v>0</v>
      </c>
      <c r="I70" s="517">
        <f t="shared" si="64"/>
        <v>0</v>
      </c>
      <c r="J70" s="517">
        <f t="shared" si="64"/>
        <v>0</v>
      </c>
      <c r="K70" s="517">
        <f t="shared" si="64"/>
        <v>0</v>
      </c>
      <c r="L70" s="517">
        <f t="shared" si="64"/>
        <v>0</v>
      </c>
      <c r="M70" s="517">
        <f t="shared" si="65"/>
        <v>0</v>
      </c>
      <c r="N70" s="517">
        <f t="shared" si="65"/>
        <v>0</v>
      </c>
      <c r="O70" s="517">
        <f t="shared" si="65"/>
        <v>0</v>
      </c>
      <c r="P70" s="517">
        <f t="shared" si="65"/>
        <v>0</v>
      </c>
      <c r="Q70" s="517">
        <f t="shared" si="65"/>
        <v>0</v>
      </c>
      <c r="R70" s="517">
        <f t="shared" si="65"/>
        <v>0</v>
      </c>
      <c r="S70" s="517">
        <f t="shared" si="65"/>
        <v>0</v>
      </c>
      <c r="T70" s="517">
        <f t="shared" si="65"/>
        <v>0</v>
      </c>
      <c r="U70" s="517">
        <f t="shared" si="64"/>
        <v>0</v>
      </c>
      <c r="V70" s="517">
        <f t="shared" si="64"/>
        <v>0</v>
      </c>
      <c r="W70" s="517">
        <f t="shared" si="64"/>
        <v>0</v>
      </c>
      <c r="X70" s="517">
        <f t="shared" si="64"/>
        <v>0</v>
      </c>
      <c r="Y70" s="517">
        <f t="shared" si="64"/>
        <v>0</v>
      </c>
      <c r="Z70" s="517">
        <f t="shared" si="64"/>
        <v>0</v>
      </c>
      <c r="AA70" s="517">
        <f t="shared" si="64"/>
        <v>0</v>
      </c>
      <c r="AB70" s="517">
        <f t="shared" si="64"/>
        <v>0</v>
      </c>
      <c r="AC70" s="517">
        <f t="shared" si="64"/>
        <v>0</v>
      </c>
      <c r="AD70" s="517">
        <f t="shared" si="64"/>
        <v>0</v>
      </c>
      <c r="AE70" s="517">
        <f t="shared" si="64"/>
        <v>0</v>
      </c>
      <c r="AF70" s="517">
        <f t="shared" si="64"/>
        <v>0</v>
      </c>
      <c r="AG70" s="517">
        <f t="shared" si="64"/>
        <v>0</v>
      </c>
      <c r="AH70" s="517">
        <f t="shared" si="64"/>
        <v>0</v>
      </c>
      <c r="AI70" s="517">
        <f t="shared" si="64"/>
        <v>0</v>
      </c>
      <c r="AJ70" s="517">
        <f t="shared" si="64"/>
        <v>0</v>
      </c>
      <c r="AK70" s="517">
        <f t="shared" si="64"/>
        <v>0</v>
      </c>
      <c r="AL70" s="517">
        <f t="shared" si="64"/>
        <v>0</v>
      </c>
      <c r="AM70" s="517">
        <f t="shared" si="64"/>
        <v>0</v>
      </c>
      <c r="AN70" s="517">
        <f t="shared" si="64"/>
        <v>0</v>
      </c>
      <c r="AO70" s="517">
        <f t="shared" si="64"/>
        <v>0</v>
      </c>
      <c r="AP70" s="517">
        <f t="shared" si="64"/>
        <v>0</v>
      </c>
      <c r="AQ70" s="517">
        <f t="shared" si="64"/>
        <v>0</v>
      </c>
      <c r="AR70" s="517">
        <f t="shared" si="64"/>
        <v>0</v>
      </c>
      <c r="AS70" s="517">
        <f t="shared" si="64"/>
        <v>0</v>
      </c>
      <c r="AT70" s="517">
        <f t="shared" si="64"/>
        <v>0</v>
      </c>
      <c r="AU70" s="517">
        <f t="shared" si="64"/>
        <v>0</v>
      </c>
      <c r="AV70" s="517">
        <f t="shared" si="64"/>
        <v>0</v>
      </c>
      <c r="AW70" s="517">
        <f t="shared" si="64"/>
        <v>0</v>
      </c>
      <c r="AX70" s="517">
        <f t="shared" si="64"/>
        <v>0</v>
      </c>
      <c r="AY70" s="517">
        <f t="shared" si="64"/>
        <v>0</v>
      </c>
      <c r="AZ70" s="517">
        <f t="shared" si="64"/>
        <v>0</v>
      </c>
      <c r="BA70" s="517">
        <f t="shared" si="64"/>
        <v>0</v>
      </c>
      <c r="BB70" s="517">
        <f t="shared" si="64"/>
        <v>0</v>
      </c>
      <c r="BC70" s="517">
        <f t="shared" si="64"/>
        <v>0</v>
      </c>
      <c r="BD70" s="517">
        <f t="shared" si="64"/>
        <v>0</v>
      </c>
      <c r="BE70" s="534">
        <f>SUM(טבלה3441[[#This Row],[1]:[50]])</f>
        <v>0</v>
      </c>
      <c r="BF70" s="534">
        <f>CEILING(טבלה3441[[#This Row],[סה"כ]],100)</f>
        <v>0</v>
      </c>
      <c r="BG70" s="576" t="str">
        <f>טבלה3441[[#This Row],[פרודוקטים]]</f>
        <v>מזלג</v>
      </c>
      <c r="BH70" s="531"/>
      <c r="BI70" s="532"/>
      <c r="BJ70" s="533"/>
      <c r="BK70" s="533"/>
      <c r="BL70" s="533"/>
      <c r="BM70" s="533"/>
    </row>
    <row r="71" spans="1:65" s="518" customFormat="1">
      <c r="A71" s="518" t="s">
        <v>891</v>
      </c>
      <c r="B71" s="518" t="s">
        <v>570</v>
      </c>
      <c r="C71" s="518" t="s">
        <v>29</v>
      </c>
      <c r="D71" s="639" t="s">
        <v>729</v>
      </c>
      <c r="E71" s="639"/>
      <c r="F71" s="522">
        <v>1.2</v>
      </c>
      <c r="G71" s="517">
        <f>ROUNDUP($F71*G$2,0)</f>
        <v>0</v>
      </c>
      <c r="H71" s="517">
        <f t="shared" si="64"/>
        <v>0</v>
      </c>
      <c r="I71" s="517">
        <f t="shared" si="64"/>
        <v>0</v>
      </c>
      <c r="J71" s="517">
        <f t="shared" si="64"/>
        <v>0</v>
      </c>
      <c r="K71" s="517">
        <f t="shared" si="64"/>
        <v>0</v>
      </c>
      <c r="L71" s="517">
        <f t="shared" si="64"/>
        <v>0</v>
      </c>
      <c r="M71" s="517">
        <f t="shared" si="65"/>
        <v>0</v>
      </c>
      <c r="N71" s="517">
        <f t="shared" si="65"/>
        <v>0</v>
      </c>
      <c r="O71" s="517">
        <f t="shared" si="65"/>
        <v>0</v>
      </c>
      <c r="P71" s="517">
        <f t="shared" si="65"/>
        <v>0</v>
      </c>
      <c r="Q71" s="517">
        <f t="shared" si="65"/>
        <v>0</v>
      </c>
      <c r="R71" s="517">
        <f t="shared" si="65"/>
        <v>0</v>
      </c>
      <c r="S71" s="517">
        <f t="shared" si="65"/>
        <v>0</v>
      </c>
      <c r="T71" s="517">
        <f t="shared" si="65"/>
        <v>0</v>
      </c>
      <c r="U71" s="517">
        <f t="shared" si="64"/>
        <v>0</v>
      </c>
      <c r="V71" s="517">
        <f t="shared" si="64"/>
        <v>0</v>
      </c>
      <c r="W71" s="517">
        <f t="shared" si="64"/>
        <v>0</v>
      </c>
      <c r="X71" s="517">
        <f t="shared" si="64"/>
        <v>0</v>
      </c>
      <c r="Y71" s="517">
        <f t="shared" si="64"/>
        <v>0</v>
      </c>
      <c r="Z71" s="517">
        <f t="shared" si="64"/>
        <v>0</v>
      </c>
      <c r="AA71" s="517">
        <f t="shared" si="64"/>
        <v>0</v>
      </c>
      <c r="AB71" s="517">
        <f t="shared" si="64"/>
        <v>0</v>
      </c>
      <c r="AC71" s="517">
        <f t="shared" si="64"/>
        <v>0</v>
      </c>
      <c r="AD71" s="517">
        <f t="shared" si="64"/>
        <v>0</v>
      </c>
      <c r="AE71" s="517">
        <f t="shared" si="64"/>
        <v>0</v>
      </c>
      <c r="AF71" s="517">
        <f t="shared" si="64"/>
        <v>0</v>
      </c>
      <c r="AG71" s="517">
        <f t="shared" si="64"/>
        <v>0</v>
      </c>
      <c r="AH71" s="517">
        <f t="shared" si="64"/>
        <v>0</v>
      </c>
      <c r="AI71" s="517">
        <f t="shared" si="64"/>
        <v>0</v>
      </c>
      <c r="AJ71" s="517">
        <f t="shared" si="64"/>
        <v>0</v>
      </c>
      <c r="AK71" s="517">
        <f t="shared" si="64"/>
        <v>0</v>
      </c>
      <c r="AL71" s="517">
        <f t="shared" si="64"/>
        <v>0</v>
      </c>
      <c r="AM71" s="517">
        <f t="shared" si="64"/>
        <v>0</v>
      </c>
      <c r="AN71" s="517">
        <f t="shared" si="64"/>
        <v>0</v>
      </c>
      <c r="AO71" s="517">
        <f t="shared" si="64"/>
        <v>0</v>
      </c>
      <c r="AP71" s="517">
        <f t="shared" si="64"/>
        <v>0</v>
      </c>
      <c r="AQ71" s="517">
        <f t="shared" si="64"/>
        <v>0</v>
      </c>
      <c r="AR71" s="517">
        <f t="shared" si="64"/>
        <v>0</v>
      </c>
      <c r="AS71" s="517">
        <f t="shared" si="64"/>
        <v>0</v>
      </c>
      <c r="AT71" s="517">
        <f t="shared" si="64"/>
        <v>0</v>
      </c>
      <c r="AU71" s="517">
        <f t="shared" si="64"/>
        <v>0</v>
      </c>
      <c r="AV71" s="517">
        <f t="shared" si="64"/>
        <v>0</v>
      </c>
      <c r="AW71" s="517">
        <f t="shared" si="64"/>
        <v>0</v>
      </c>
      <c r="AX71" s="517">
        <f t="shared" si="64"/>
        <v>0</v>
      </c>
      <c r="AY71" s="517">
        <f t="shared" si="64"/>
        <v>0</v>
      </c>
      <c r="AZ71" s="517">
        <f t="shared" si="64"/>
        <v>0</v>
      </c>
      <c r="BA71" s="517">
        <f t="shared" si="64"/>
        <v>0</v>
      </c>
      <c r="BB71" s="517">
        <f t="shared" si="64"/>
        <v>0</v>
      </c>
      <c r="BC71" s="517">
        <f t="shared" si="64"/>
        <v>0</v>
      </c>
      <c r="BD71" s="517">
        <f t="shared" si="64"/>
        <v>0</v>
      </c>
      <c r="BE71" s="534">
        <f>SUM(טבלה3441[[#This Row],[1]:[50]])</f>
        <v>0</v>
      </c>
      <c r="BF71" s="534">
        <f>CEILING(טבלה3441[[#This Row],[סה"כ]],100)</f>
        <v>0</v>
      </c>
      <c r="BG71" s="576" t="str">
        <f>טבלה3441[[#This Row],[פרודוקטים]]</f>
        <v>צלחת אוכל חם</v>
      </c>
      <c r="BH71" s="531"/>
      <c r="BI71" s="532"/>
      <c r="BJ71" s="533"/>
      <c r="BK71" s="533"/>
      <c r="BL71" s="533"/>
      <c r="BM71" s="533"/>
    </row>
    <row r="72" spans="1:65" s="518" customFormat="1">
      <c r="A72" s="518" t="s">
        <v>891</v>
      </c>
      <c r="B72" s="518" t="s">
        <v>577</v>
      </c>
      <c r="C72" s="518" t="s">
        <v>34</v>
      </c>
      <c r="D72" s="530" t="s">
        <v>700</v>
      </c>
      <c r="E72" s="530"/>
      <c r="F72" s="523">
        <f>2/30</f>
        <v>6.6666666666666666E-2</v>
      </c>
      <c r="G72" s="517">
        <f>ROUNDUP($F72*G$2,0)</f>
        <v>0</v>
      </c>
      <c r="H72" s="517">
        <f t="shared" si="64"/>
        <v>0</v>
      </c>
      <c r="I72" s="517">
        <f t="shared" si="64"/>
        <v>0</v>
      </c>
      <c r="J72" s="517">
        <f t="shared" si="64"/>
        <v>0</v>
      </c>
      <c r="K72" s="517">
        <f t="shared" si="64"/>
        <v>0</v>
      </c>
      <c r="L72" s="517">
        <f t="shared" si="64"/>
        <v>0</v>
      </c>
      <c r="M72" s="517">
        <f t="shared" si="65"/>
        <v>0</v>
      </c>
      <c r="N72" s="517">
        <f t="shared" si="65"/>
        <v>0</v>
      </c>
      <c r="O72" s="517">
        <f t="shared" si="65"/>
        <v>0</v>
      </c>
      <c r="P72" s="517">
        <f t="shared" si="65"/>
        <v>0</v>
      </c>
      <c r="Q72" s="517">
        <f t="shared" si="65"/>
        <v>0</v>
      </c>
      <c r="R72" s="517">
        <f t="shared" si="65"/>
        <v>0</v>
      </c>
      <c r="S72" s="517">
        <f t="shared" si="65"/>
        <v>0</v>
      </c>
      <c r="T72" s="517">
        <f t="shared" si="65"/>
        <v>0</v>
      </c>
      <c r="U72" s="517">
        <f t="shared" si="64"/>
        <v>0</v>
      </c>
      <c r="V72" s="517">
        <f t="shared" si="64"/>
        <v>0</v>
      </c>
      <c r="W72" s="517">
        <f t="shared" si="64"/>
        <v>0</v>
      </c>
      <c r="X72" s="517">
        <f t="shared" si="64"/>
        <v>0</v>
      </c>
      <c r="Y72" s="517">
        <f t="shared" si="64"/>
        <v>0</v>
      </c>
      <c r="Z72" s="517">
        <f t="shared" si="64"/>
        <v>0</v>
      </c>
      <c r="AA72" s="517">
        <f t="shared" si="64"/>
        <v>0</v>
      </c>
      <c r="AB72" s="517">
        <f t="shared" si="64"/>
        <v>0</v>
      </c>
      <c r="AC72" s="517">
        <f t="shared" si="64"/>
        <v>0</v>
      </c>
      <c r="AD72" s="517">
        <f t="shared" si="64"/>
        <v>0</v>
      </c>
      <c r="AE72" s="517">
        <f t="shared" si="64"/>
        <v>0</v>
      </c>
      <c r="AF72" s="517">
        <f t="shared" si="64"/>
        <v>0</v>
      </c>
      <c r="AG72" s="517">
        <f t="shared" si="64"/>
        <v>0</v>
      </c>
      <c r="AH72" s="517">
        <f t="shared" si="64"/>
        <v>0</v>
      </c>
      <c r="AI72" s="517">
        <f t="shared" si="64"/>
        <v>0</v>
      </c>
      <c r="AJ72" s="517">
        <f t="shared" si="64"/>
        <v>0</v>
      </c>
      <c r="AK72" s="517">
        <f t="shared" si="64"/>
        <v>0</v>
      </c>
      <c r="AL72" s="517">
        <f t="shared" si="64"/>
        <v>0</v>
      </c>
      <c r="AM72" s="517">
        <f t="shared" si="64"/>
        <v>0</v>
      </c>
      <c r="AN72" s="517">
        <f t="shared" si="64"/>
        <v>0</v>
      </c>
      <c r="AO72" s="517">
        <f t="shared" si="64"/>
        <v>0</v>
      </c>
      <c r="AP72" s="517">
        <f t="shared" si="64"/>
        <v>0</v>
      </c>
      <c r="AQ72" s="517">
        <f t="shared" si="64"/>
        <v>0</v>
      </c>
      <c r="AR72" s="517">
        <f t="shared" si="64"/>
        <v>0</v>
      </c>
      <c r="AS72" s="517">
        <f t="shared" si="64"/>
        <v>0</v>
      </c>
      <c r="AT72" s="517">
        <f t="shared" si="64"/>
        <v>0</v>
      </c>
      <c r="AU72" s="517">
        <f t="shared" si="64"/>
        <v>0</v>
      </c>
      <c r="AV72" s="517">
        <f t="shared" si="64"/>
        <v>0</v>
      </c>
      <c r="AW72" s="517">
        <f t="shared" si="64"/>
        <v>0</v>
      </c>
      <c r="AX72" s="517">
        <f t="shared" si="64"/>
        <v>0</v>
      </c>
      <c r="AY72" s="517">
        <f t="shared" si="64"/>
        <v>0</v>
      </c>
      <c r="AZ72" s="517">
        <f t="shared" si="64"/>
        <v>0</v>
      </c>
      <c r="BA72" s="517">
        <f t="shared" si="64"/>
        <v>0</v>
      </c>
      <c r="BB72" s="517">
        <f t="shared" si="64"/>
        <v>0</v>
      </c>
      <c r="BC72" s="517">
        <f t="shared" si="64"/>
        <v>0</v>
      </c>
      <c r="BD72" s="517">
        <f t="shared" si="64"/>
        <v>0</v>
      </c>
      <c r="BE72" s="534">
        <f>SUM(טבלה3441[[#This Row],[1]:[50]])</f>
        <v>0</v>
      </c>
      <c r="BF72" s="534">
        <f>CEILING(טבלה3441[[#This Row],[סה"כ]],25)</f>
        <v>0</v>
      </c>
      <c r="BG72" s="576" t="str">
        <f>טבלה3441[[#This Row],[פרודוקטים]]</f>
        <v>שקית זבל</v>
      </c>
      <c r="BH72" s="531"/>
      <c r="BI72" s="532"/>
      <c r="BJ72" s="533"/>
      <c r="BK72" s="533"/>
      <c r="BL72" s="533"/>
      <c r="BM72" s="533"/>
    </row>
    <row r="73" spans="1:65" s="518" customFormat="1">
      <c r="A73" s="518" t="s">
        <v>891</v>
      </c>
      <c r="B73" s="518" t="s">
        <v>578</v>
      </c>
      <c r="C73" s="518" t="s">
        <v>35</v>
      </c>
      <c r="D73" s="530" t="s">
        <v>691</v>
      </c>
      <c r="E73" s="530"/>
      <c r="F73" s="523">
        <v>8</v>
      </c>
      <c r="G73" s="517">
        <f>IF(G$2&gt;0,$F73,0)</f>
        <v>0</v>
      </c>
      <c r="H73" s="517">
        <f t="shared" ref="H73:BD74" si="66">IF(H$2&gt;0,$F73,0)</f>
        <v>0</v>
      </c>
      <c r="I73" s="517">
        <f t="shared" si="66"/>
        <v>0</v>
      </c>
      <c r="J73" s="517">
        <f t="shared" si="66"/>
        <v>0</v>
      </c>
      <c r="K73" s="517">
        <f t="shared" si="66"/>
        <v>0</v>
      </c>
      <c r="L73" s="517">
        <f t="shared" si="66"/>
        <v>0</v>
      </c>
      <c r="M73" s="517">
        <f t="shared" ref="M73:T74" si="67">IF(M$2&gt;0,$F73,0)</f>
        <v>0</v>
      </c>
      <c r="N73" s="517">
        <f t="shared" si="67"/>
        <v>0</v>
      </c>
      <c r="O73" s="517">
        <f t="shared" si="67"/>
        <v>0</v>
      </c>
      <c r="P73" s="517">
        <f t="shared" si="67"/>
        <v>0</v>
      </c>
      <c r="Q73" s="517">
        <f t="shared" si="67"/>
        <v>0</v>
      </c>
      <c r="R73" s="517">
        <f t="shared" si="67"/>
        <v>0</v>
      </c>
      <c r="S73" s="517">
        <f t="shared" si="67"/>
        <v>0</v>
      </c>
      <c r="T73" s="517">
        <f t="shared" si="67"/>
        <v>0</v>
      </c>
      <c r="U73" s="517">
        <f t="shared" si="66"/>
        <v>0</v>
      </c>
      <c r="V73" s="517">
        <f t="shared" si="66"/>
        <v>0</v>
      </c>
      <c r="W73" s="517">
        <f t="shared" si="66"/>
        <v>0</v>
      </c>
      <c r="X73" s="517">
        <f t="shared" si="66"/>
        <v>0</v>
      </c>
      <c r="Y73" s="517">
        <f t="shared" si="66"/>
        <v>0</v>
      </c>
      <c r="Z73" s="517">
        <f t="shared" si="66"/>
        <v>0</v>
      </c>
      <c r="AA73" s="517">
        <f t="shared" si="66"/>
        <v>0</v>
      </c>
      <c r="AB73" s="517">
        <f t="shared" si="66"/>
        <v>0</v>
      </c>
      <c r="AC73" s="517">
        <f t="shared" si="66"/>
        <v>0</v>
      </c>
      <c r="AD73" s="517">
        <f t="shared" si="66"/>
        <v>0</v>
      </c>
      <c r="AE73" s="517">
        <f t="shared" si="66"/>
        <v>0</v>
      </c>
      <c r="AF73" s="517">
        <f t="shared" si="66"/>
        <v>0</v>
      </c>
      <c r="AG73" s="517">
        <f t="shared" si="66"/>
        <v>0</v>
      </c>
      <c r="AH73" s="517">
        <f t="shared" si="66"/>
        <v>0</v>
      </c>
      <c r="AI73" s="517">
        <f t="shared" si="66"/>
        <v>0</v>
      </c>
      <c r="AJ73" s="517">
        <f t="shared" si="66"/>
        <v>0</v>
      </c>
      <c r="AK73" s="517">
        <f t="shared" si="66"/>
        <v>0</v>
      </c>
      <c r="AL73" s="517">
        <f t="shared" si="66"/>
        <v>0</v>
      </c>
      <c r="AM73" s="517">
        <f t="shared" si="66"/>
        <v>0</v>
      </c>
      <c r="AN73" s="517">
        <f t="shared" si="66"/>
        <v>0</v>
      </c>
      <c r="AO73" s="517">
        <f t="shared" si="66"/>
        <v>0</v>
      </c>
      <c r="AP73" s="517">
        <f t="shared" si="66"/>
        <v>0</v>
      </c>
      <c r="AQ73" s="517">
        <f t="shared" si="66"/>
        <v>0</v>
      </c>
      <c r="AR73" s="517">
        <f t="shared" si="66"/>
        <v>0</v>
      </c>
      <c r="AS73" s="517">
        <f t="shared" si="66"/>
        <v>0</v>
      </c>
      <c r="AT73" s="517">
        <f t="shared" si="66"/>
        <v>0</v>
      </c>
      <c r="AU73" s="517">
        <f t="shared" si="66"/>
        <v>0</v>
      </c>
      <c r="AV73" s="517">
        <f t="shared" si="66"/>
        <v>0</v>
      </c>
      <c r="AW73" s="517">
        <f t="shared" si="66"/>
        <v>0</v>
      </c>
      <c r="AX73" s="517">
        <f t="shared" si="66"/>
        <v>0</v>
      </c>
      <c r="AY73" s="517">
        <f t="shared" si="66"/>
        <v>0</v>
      </c>
      <c r="AZ73" s="517">
        <f t="shared" si="66"/>
        <v>0</v>
      </c>
      <c r="BA73" s="517">
        <f t="shared" si="66"/>
        <v>0</v>
      </c>
      <c r="BB73" s="517">
        <f t="shared" si="66"/>
        <v>0</v>
      </c>
      <c r="BC73" s="517">
        <f t="shared" si="66"/>
        <v>0</v>
      </c>
      <c r="BD73" s="517">
        <f t="shared" si="66"/>
        <v>0</v>
      </c>
      <c r="BE73" s="534">
        <f>SUM(טבלה3441[[#This Row],[1]:[50]])</f>
        <v>0</v>
      </c>
      <c r="BF73" s="534">
        <f>CEILING(טבלה3441[[#This Row],[סה"כ]],25)</f>
        <v>0</v>
      </c>
      <c r="BG73" s="576" t="str">
        <f>טבלה3441[[#This Row],[פרודוקטים]]</f>
        <v>שקית גופיה</v>
      </c>
      <c r="BH73" s="531"/>
      <c r="BI73" s="532"/>
      <c r="BJ73" s="533"/>
      <c r="BK73" s="533"/>
      <c r="BL73" s="533"/>
      <c r="BM73" s="533"/>
    </row>
    <row r="74" spans="1:65" s="518" customFormat="1">
      <c r="A74" s="518" t="s">
        <v>891</v>
      </c>
      <c r="B74" s="518" t="s">
        <v>580</v>
      </c>
      <c r="C74" s="518" t="s">
        <v>37</v>
      </c>
      <c r="D74" s="639" t="s">
        <v>921</v>
      </c>
      <c r="E74" s="639"/>
      <c r="F74" s="522">
        <v>1</v>
      </c>
      <c r="G74" s="517">
        <f>IF(G$2&gt;0,$F74,0)</f>
        <v>0</v>
      </c>
      <c r="H74" s="517">
        <f t="shared" si="66"/>
        <v>0</v>
      </c>
      <c r="I74" s="517">
        <f t="shared" si="66"/>
        <v>0</v>
      </c>
      <c r="J74" s="517">
        <f t="shared" si="66"/>
        <v>0</v>
      </c>
      <c r="K74" s="517">
        <f t="shared" si="66"/>
        <v>0</v>
      </c>
      <c r="L74" s="517">
        <f t="shared" si="66"/>
        <v>0</v>
      </c>
      <c r="M74" s="517">
        <f t="shared" si="67"/>
        <v>0</v>
      </c>
      <c r="N74" s="517">
        <f t="shared" si="67"/>
        <v>0</v>
      </c>
      <c r="O74" s="517">
        <f t="shared" si="67"/>
        <v>0</v>
      </c>
      <c r="P74" s="517">
        <f t="shared" si="67"/>
        <v>0</v>
      </c>
      <c r="Q74" s="517">
        <f t="shared" si="67"/>
        <v>0</v>
      </c>
      <c r="R74" s="517">
        <f t="shared" si="67"/>
        <v>0</v>
      </c>
      <c r="S74" s="517">
        <f t="shared" si="67"/>
        <v>0</v>
      </c>
      <c r="T74" s="517">
        <f t="shared" si="67"/>
        <v>0</v>
      </c>
      <c r="U74" s="517">
        <f t="shared" si="66"/>
        <v>0</v>
      </c>
      <c r="V74" s="517">
        <f t="shared" si="66"/>
        <v>0</v>
      </c>
      <c r="W74" s="517">
        <f t="shared" si="66"/>
        <v>0</v>
      </c>
      <c r="X74" s="517">
        <f t="shared" si="66"/>
        <v>0</v>
      </c>
      <c r="Y74" s="517">
        <f t="shared" si="66"/>
        <v>0</v>
      </c>
      <c r="Z74" s="517">
        <f t="shared" si="66"/>
        <v>0</v>
      </c>
      <c r="AA74" s="517">
        <f t="shared" si="66"/>
        <v>0</v>
      </c>
      <c r="AB74" s="517">
        <f t="shared" si="66"/>
        <v>0</v>
      </c>
      <c r="AC74" s="517">
        <f t="shared" si="66"/>
        <v>0</v>
      </c>
      <c r="AD74" s="517">
        <f t="shared" si="66"/>
        <v>0</v>
      </c>
      <c r="AE74" s="517">
        <f t="shared" si="66"/>
        <v>0</v>
      </c>
      <c r="AF74" s="517">
        <f t="shared" si="66"/>
        <v>0</v>
      </c>
      <c r="AG74" s="517">
        <f t="shared" si="66"/>
        <v>0</v>
      </c>
      <c r="AH74" s="517">
        <f t="shared" si="66"/>
        <v>0</v>
      </c>
      <c r="AI74" s="517">
        <f t="shared" si="66"/>
        <v>0</v>
      </c>
      <c r="AJ74" s="517">
        <f t="shared" si="66"/>
        <v>0</v>
      </c>
      <c r="AK74" s="517">
        <f t="shared" si="66"/>
        <v>0</v>
      </c>
      <c r="AL74" s="517">
        <f t="shared" si="66"/>
        <v>0</v>
      </c>
      <c r="AM74" s="517">
        <f t="shared" si="66"/>
        <v>0</v>
      </c>
      <c r="AN74" s="517">
        <f t="shared" si="66"/>
        <v>0</v>
      </c>
      <c r="AO74" s="517">
        <f t="shared" si="66"/>
        <v>0</v>
      </c>
      <c r="AP74" s="517">
        <f t="shared" si="66"/>
        <v>0</v>
      </c>
      <c r="AQ74" s="517">
        <f t="shared" si="66"/>
        <v>0</v>
      </c>
      <c r="AR74" s="517">
        <f t="shared" si="66"/>
        <v>0</v>
      </c>
      <c r="AS74" s="517">
        <f t="shared" si="66"/>
        <v>0</v>
      </c>
      <c r="AT74" s="517">
        <f t="shared" si="66"/>
        <v>0</v>
      </c>
      <c r="AU74" s="517">
        <f t="shared" si="66"/>
        <v>0</v>
      </c>
      <c r="AV74" s="517">
        <f t="shared" si="66"/>
        <v>0</v>
      </c>
      <c r="AW74" s="517">
        <f t="shared" si="66"/>
        <v>0</v>
      </c>
      <c r="AX74" s="517">
        <f t="shared" si="66"/>
        <v>0</v>
      </c>
      <c r="AY74" s="517">
        <f t="shared" si="66"/>
        <v>0</v>
      </c>
      <c r="AZ74" s="517">
        <f t="shared" si="66"/>
        <v>0</v>
      </c>
      <c r="BA74" s="517">
        <f t="shared" si="66"/>
        <v>0</v>
      </c>
      <c r="BB74" s="517">
        <f t="shared" si="66"/>
        <v>0</v>
      </c>
      <c r="BC74" s="517">
        <f t="shared" si="66"/>
        <v>0</v>
      </c>
      <c r="BD74" s="517">
        <f t="shared" si="66"/>
        <v>0</v>
      </c>
      <c r="BE74" s="534">
        <f>SUM(טבלה3441[[#This Row],[1]:[50]])</f>
        <v>0</v>
      </c>
      <c r="BF74" s="534">
        <f>טבלה3441[[#This Row],[סה"כ]]</f>
        <v>0</v>
      </c>
      <c r="BG74" s="576" t="str">
        <f>טבלה3441[[#This Row],[פרודוקטים]]</f>
        <v>נייר סופג</v>
      </c>
      <c r="BH74" s="531"/>
      <c r="BI74" s="532"/>
      <c r="BJ74" s="533"/>
      <c r="BK74" s="533"/>
      <c r="BL74" s="533"/>
      <c r="BM74" s="533"/>
    </row>
    <row r="75" spans="1:65" s="518" customFormat="1">
      <c r="A75" s="640"/>
      <c r="B75" s="640"/>
      <c r="C75" s="640"/>
      <c r="D75" s="641"/>
      <c r="E75" s="641"/>
      <c r="F75" s="642"/>
      <c r="G75" s="643"/>
      <c r="H75" s="643"/>
      <c r="I75" s="643"/>
      <c r="J75" s="643"/>
      <c r="K75" s="643"/>
      <c r="L75" s="643"/>
      <c r="M75" s="643"/>
      <c r="N75" s="643"/>
      <c r="O75" s="643"/>
      <c r="P75" s="643"/>
      <c r="Q75" s="643"/>
      <c r="R75" s="643"/>
      <c r="S75" s="643"/>
      <c r="T75" s="643"/>
      <c r="U75" s="643"/>
      <c r="V75" s="643"/>
      <c r="W75" s="643"/>
      <c r="X75" s="643"/>
      <c r="Y75" s="643"/>
      <c r="Z75" s="643"/>
      <c r="AA75" s="643"/>
      <c r="AB75" s="643"/>
      <c r="AC75" s="643"/>
      <c r="AD75" s="643"/>
      <c r="AE75" s="643"/>
      <c r="AF75" s="643"/>
      <c r="AG75" s="643"/>
      <c r="AH75" s="643"/>
      <c r="AI75" s="643"/>
      <c r="AJ75" s="643"/>
      <c r="AK75" s="643"/>
      <c r="AL75" s="643"/>
      <c r="AM75" s="643"/>
      <c r="AN75" s="643"/>
      <c r="AO75" s="643"/>
      <c r="AP75" s="643"/>
      <c r="AQ75" s="643"/>
      <c r="AR75" s="643"/>
      <c r="AS75" s="643"/>
      <c r="AT75" s="643"/>
      <c r="AU75" s="643"/>
      <c r="AV75" s="643"/>
      <c r="AW75" s="643"/>
      <c r="AX75" s="643"/>
      <c r="AY75" s="643"/>
      <c r="AZ75" s="643"/>
      <c r="BA75" s="643"/>
      <c r="BB75" s="643"/>
      <c r="BC75" s="643"/>
      <c r="BD75" s="643"/>
      <c r="BE75" s="644"/>
      <c r="BF75" s="644"/>
      <c r="BG75" s="645"/>
      <c r="BH75" s="646"/>
      <c r="BI75" s="532"/>
      <c r="BJ75" s="533"/>
      <c r="BK75" s="533"/>
      <c r="BL75" s="533"/>
      <c r="BM75" s="533"/>
    </row>
    <row r="76" spans="1:65" s="518" customFormat="1">
      <c r="D76" s="772"/>
      <c r="E76" s="772"/>
      <c r="F76" s="522"/>
      <c r="G76" s="517"/>
      <c r="H76" s="519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540"/>
      <c r="BF76" s="540"/>
      <c r="BG76" s="533"/>
      <c r="BH76" s="531"/>
      <c r="BI76" s="532"/>
      <c r="BJ76" s="533"/>
      <c r="BK76" s="533"/>
      <c r="BL76" s="533"/>
      <c r="BM76" s="533"/>
    </row>
    <row r="77" spans="1:65" s="518" customFormat="1">
      <c r="D77" s="772"/>
      <c r="E77" s="772"/>
      <c r="F77" s="522"/>
      <c r="G77" s="517"/>
      <c r="H77" s="519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540"/>
      <c r="BF77" s="540"/>
      <c r="BG77" s="533"/>
      <c r="BH77" s="531"/>
      <c r="BI77" s="532"/>
      <c r="BJ77" s="533"/>
      <c r="BK77" s="533"/>
      <c r="BL77" s="533"/>
      <c r="BM77" s="533"/>
    </row>
    <row r="78" spans="1:65" s="518" customFormat="1">
      <c r="D78" s="772"/>
      <c r="E78" s="772"/>
      <c r="F78" s="522"/>
      <c r="G78" s="517"/>
      <c r="H78" s="519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540"/>
      <c r="BF78" s="540"/>
      <c r="BG78" s="533"/>
      <c r="BH78" s="531"/>
      <c r="BI78" s="532"/>
      <c r="BJ78" s="533"/>
      <c r="BK78" s="533"/>
      <c r="BL78" s="533"/>
      <c r="BM78" s="533"/>
    </row>
    <row r="79" spans="1:65" s="518" customFormat="1">
      <c r="D79" s="772"/>
      <c r="E79" s="772"/>
      <c r="F79" s="522"/>
      <c r="G79" s="517"/>
      <c r="H79" s="519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540"/>
      <c r="BF79" s="540"/>
      <c r="BG79" s="533"/>
      <c r="BH79" s="531"/>
      <c r="BI79" s="532"/>
      <c r="BJ79" s="533"/>
      <c r="BK79" s="533"/>
      <c r="BL79" s="533"/>
      <c r="BM79" s="533"/>
    </row>
    <row r="80" spans="1:65" s="518" customFormat="1">
      <c r="D80" s="772"/>
      <c r="E80" s="772"/>
      <c r="F80" s="522"/>
      <c r="G80" s="517"/>
      <c r="H80" s="519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3"/>
      <c r="Y80" s="533"/>
      <c r="Z80" s="533"/>
      <c r="AA80" s="533"/>
      <c r="AB80" s="533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540"/>
      <c r="BF80" s="540"/>
      <c r="BG80" s="533"/>
      <c r="BH80" s="531"/>
      <c r="BI80" s="532"/>
      <c r="BJ80" s="533"/>
      <c r="BK80" s="533"/>
      <c r="BL80" s="533"/>
      <c r="BM80" s="533"/>
    </row>
    <row r="81" spans="4:65" s="518" customFormat="1">
      <c r="D81" s="772"/>
      <c r="E81" s="772"/>
      <c r="F81" s="522"/>
      <c r="G81" s="517"/>
      <c r="H81" s="519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540"/>
      <c r="BF81" s="540"/>
      <c r="BG81" s="533"/>
      <c r="BH81" s="531"/>
      <c r="BI81" s="532"/>
      <c r="BJ81" s="533"/>
      <c r="BK81" s="533"/>
      <c r="BL81" s="533"/>
      <c r="BM81" s="533"/>
    </row>
    <row r="82" spans="4:65" s="518" customFormat="1">
      <c r="D82" s="772"/>
      <c r="E82" s="772"/>
      <c r="F82" s="522"/>
      <c r="G82" s="517"/>
      <c r="H82" s="519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540"/>
      <c r="BF82" s="540"/>
      <c r="BG82" s="533"/>
      <c r="BH82" s="531"/>
      <c r="BI82" s="532"/>
      <c r="BJ82" s="533"/>
      <c r="BK82" s="533"/>
      <c r="BL82" s="533"/>
      <c r="BM82" s="533"/>
    </row>
    <row r="83" spans="4:65" s="518" customFormat="1">
      <c r="D83" s="772"/>
      <c r="E83" s="772"/>
      <c r="F83" s="522"/>
      <c r="G83" s="517"/>
      <c r="H83" s="519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540"/>
      <c r="BF83" s="540"/>
      <c r="BG83" s="533"/>
      <c r="BH83" s="531"/>
      <c r="BI83" s="532"/>
      <c r="BJ83" s="533"/>
      <c r="BK83" s="533"/>
      <c r="BL83" s="533"/>
      <c r="BM83" s="533"/>
    </row>
    <row r="84" spans="4:65" s="518" customFormat="1">
      <c r="D84" s="772"/>
      <c r="E84" s="772"/>
      <c r="F84" s="522"/>
      <c r="G84" s="517"/>
      <c r="H84" s="519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540"/>
      <c r="BF84" s="540"/>
      <c r="BG84" s="533"/>
      <c r="BH84" s="531"/>
      <c r="BI84" s="532"/>
      <c r="BJ84" s="533"/>
      <c r="BK84" s="533"/>
      <c r="BL84" s="533"/>
      <c r="BM84" s="533"/>
    </row>
    <row r="85" spans="4:65" s="518" customFormat="1">
      <c r="D85" s="772"/>
      <c r="E85" s="772"/>
      <c r="F85" s="522"/>
      <c r="G85" s="517"/>
      <c r="H85" s="519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540"/>
      <c r="BF85" s="540"/>
      <c r="BG85" s="533"/>
      <c r="BH85" s="531"/>
      <c r="BI85" s="532"/>
      <c r="BJ85" s="533"/>
      <c r="BK85" s="533"/>
      <c r="BL85" s="533"/>
      <c r="BM85" s="533"/>
    </row>
    <row r="86" spans="4:65" s="518" customFormat="1">
      <c r="D86" s="772"/>
      <c r="E86" s="772"/>
      <c r="F86" s="522"/>
      <c r="G86" s="517"/>
      <c r="H86" s="519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540"/>
      <c r="BF86" s="540"/>
      <c r="BG86" s="533"/>
      <c r="BH86" s="531"/>
      <c r="BI86" s="532"/>
      <c r="BJ86" s="533"/>
      <c r="BK86" s="533"/>
      <c r="BL86" s="533"/>
      <c r="BM86" s="533"/>
    </row>
    <row r="87" spans="4:65" s="518" customFormat="1">
      <c r="D87" s="772"/>
      <c r="E87" s="772"/>
      <c r="F87" s="522"/>
      <c r="G87" s="517"/>
      <c r="H87" s="519"/>
      <c r="I87" s="533"/>
      <c r="J87" s="533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540"/>
      <c r="BF87" s="540"/>
      <c r="BG87" s="533"/>
      <c r="BH87" s="531"/>
      <c r="BI87" s="532"/>
      <c r="BJ87" s="533"/>
      <c r="BK87" s="533"/>
      <c r="BL87" s="533"/>
      <c r="BM87" s="533"/>
    </row>
    <row r="88" spans="4:65" s="518" customFormat="1">
      <c r="D88" s="772"/>
      <c r="E88" s="772"/>
      <c r="F88" s="522"/>
      <c r="G88" s="517"/>
      <c r="H88" s="519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540"/>
      <c r="BF88" s="540"/>
      <c r="BG88" s="533"/>
      <c r="BH88" s="531"/>
      <c r="BI88" s="532"/>
      <c r="BJ88" s="533"/>
      <c r="BK88" s="533"/>
      <c r="BL88" s="533"/>
      <c r="BM88" s="533"/>
    </row>
    <row r="89" spans="4:65" s="518" customFormat="1">
      <c r="D89" s="772"/>
      <c r="E89" s="772"/>
      <c r="F89" s="522"/>
      <c r="G89" s="517"/>
      <c r="H89" s="519"/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33"/>
      <c r="V89" s="533"/>
      <c r="W89" s="533"/>
      <c r="X89" s="533"/>
      <c r="Y89" s="533"/>
      <c r="Z89" s="533"/>
      <c r="AA89" s="533"/>
      <c r="AB89" s="533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540"/>
      <c r="BF89" s="540"/>
      <c r="BG89" s="533"/>
      <c r="BH89" s="531"/>
      <c r="BI89" s="532"/>
      <c r="BJ89" s="533"/>
      <c r="BK89" s="533"/>
      <c r="BL89" s="533"/>
      <c r="BM89" s="533"/>
    </row>
    <row r="90" spans="4:65" s="518" customFormat="1">
      <c r="D90" s="772"/>
      <c r="E90" s="772"/>
      <c r="F90" s="522"/>
      <c r="G90" s="517"/>
      <c r="H90" s="519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3"/>
      <c r="AJ90" s="533"/>
      <c r="AK90" s="533"/>
      <c r="AL90" s="533"/>
      <c r="AM90" s="533"/>
      <c r="AN90" s="533"/>
      <c r="AO90" s="533"/>
      <c r="AP90" s="533"/>
      <c r="AQ90" s="533"/>
      <c r="AR90" s="533"/>
      <c r="AS90" s="533"/>
      <c r="AT90" s="533"/>
      <c r="AU90" s="533"/>
      <c r="AV90" s="533"/>
      <c r="AW90" s="533"/>
      <c r="AX90" s="533"/>
      <c r="AY90" s="533"/>
      <c r="AZ90" s="533"/>
      <c r="BA90" s="533"/>
      <c r="BB90" s="533"/>
      <c r="BC90" s="533"/>
      <c r="BD90" s="533"/>
      <c r="BE90" s="540"/>
      <c r="BF90" s="540"/>
      <c r="BG90" s="533"/>
      <c r="BH90" s="531"/>
      <c r="BI90" s="532"/>
      <c r="BJ90" s="533"/>
      <c r="BK90" s="533"/>
      <c r="BL90" s="533"/>
      <c r="BM90" s="533"/>
    </row>
    <row r="91" spans="4:65" s="518" customFormat="1">
      <c r="D91" s="772"/>
      <c r="E91" s="772"/>
      <c r="F91" s="522"/>
      <c r="G91" s="517"/>
      <c r="H91" s="519"/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533"/>
      <c r="AC91" s="533"/>
      <c r="AD91" s="533"/>
      <c r="AE91" s="533"/>
      <c r="AF91" s="533"/>
      <c r="AG91" s="533"/>
      <c r="AH91" s="533"/>
      <c r="AI91" s="533"/>
      <c r="AJ91" s="533"/>
      <c r="AK91" s="533"/>
      <c r="AL91" s="533"/>
      <c r="AM91" s="533"/>
      <c r="AN91" s="533"/>
      <c r="AO91" s="533"/>
      <c r="AP91" s="533"/>
      <c r="AQ91" s="533"/>
      <c r="AR91" s="533"/>
      <c r="AS91" s="533"/>
      <c r="AT91" s="533"/>
      <c r="AU91" s="533"/>
      <c r="AV91" s="533"/>
      <c r="AW91" s="533"/>
      <c r="AX91" s="533"/>
      <c r="AY91" s="533"/>
      <c r="AZ91" s="533"/>
      <c r="BA91" s="533"/>
      <c r="BB91" s="533"/>
      <c r="BC91" s="533"/>
      <c r="BD91" s="533"/>
      <c r="BE91" s="540"/>
      <c r="BF91" s="540"/>
      <c r="BG91" s="533"/>
      <c r="BH91" s="531"/>
      <c r="BI91" s="532"/>
      <c r="BJ91" s="533"/>
      <c r="BK91" s="533"/>
      <c r="BL91" s="533"/>
      <c r="BM91" s="533"/>
    </row>
    <row r="92" spans="4:65" s="518" customFormat="1">
      <c r="D92" s="772"/>
      <c r="E92" s="772"/>
      <c r="F92" s="522"/>
      <c r="G92" s="517"/>
      <c r="H92" s="519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540"/>
      <c r="BF92" s="540"/>
      <c r="BG92" s="533"/>
      <c r="BH92" s="531"/>
      <c r="BI92" s="532"/>
      <c r="BJ92" s="533"/>
      <c r="BK92" s="533"/>
      <c r="BL92" s="533"/>
      <c r="BM92" s="533"/>
    </row>
    <row r="93" spans="4:65" s="518" customFormat="1">
      <c r="D93" s="772"/>
      <c r="E93" s="772"/>
      <c r="F93" s="522"/>
      <c r="G93" s="517"/>
      <c r="H93" s="519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540"/>
      <c r="BF93" s="540"/>
      <c r="BG93" s="533"/>
      <c r="BH93" s="531"/>
      <c r="BI93" s="532"/>
      <c r="BJ93" s="533"/>
      <c r="BK93" s="533"/>
      <c r="BL93" s="533"/>
      <c r="BM93" s="533"/>
    </row>
    <row r="94" spans="4:65" s="518" customFormat="1">
      <c r="D94" s="772"/>
      <c r="E94" s="772"/>
      <c r="F94" s="522"/>
      <c r="G94" s="517"/>
      <c r="H94" s="519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40"/>
      <c r="BF94" s="540"/>
      <c r="BG94" s="533"/>
      <c r="BH94" s="531"/>
      <c r="BI94" s="532"/>
      <c r="BJ94" s="533"/>
      <c r="BK94" s="533"/>
      <c r="BL94" s="533"/>
      <c r="BM94" s="533"/>
    </row>
    <row r="95" spans="4:65" s="518" customFormat="1">
      <c r="D95" s="772"/>
      <c r="E95" s="772"/>
      <c r="F95" s="522"/>
      <c r="G95" s="517"/>
      <c r="H95" s="519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3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540"/>
      <c r="BF95" s="540"/>
      <c r="BG95" s="533"/>
      <c r="BH95" s="531"/>
      <c r="BI95" s="532"/>
      <c r="BJ95" s="533"/>
      <c r="BK95" s="533"/>
      <c r="BL95" s="533"/>
      <c r="BM95" s="533"/>
    </row>
    <row r="96" spans="4:65" s="518" customFormat="1">
      <c r="D96" s="772"/>
      <c r="E96" s="772"/>
      <c r="F96" s="522"/>
      <c r="G96" s="517"/>
      <c r="H96" s="519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540"/>
      <c r="BF96" s="540"/>
      <c r="BG96" s="533"/>
      <c r="BH96" s="531"/>
      <c r="BI96" s="532"/>
      <c r="BJ96" s="533"/>
      <c r="BK96" s="533"/>
      <c r="BL96" s="533"/>
      <c r="BM96" s="533"/>
    </row>
    <row r="97" spans="4:65" s="518" customFormat="1">
      <c r="D97" s="772"/>
      <c r="E97" s="772"/>
      <c r="F97" s="522"/>
      <c r="G97" s="517"/>
      <c r="H97" s="519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40"/>
      <c r="BF97" s="540"/>
      <c r="BG97" s="533"/>
      <c r="BH97" s="531"/>
      <c r="BI97" s="532"/>
      <c r="BJ97" s="533"/>
      <c r="BK97" s="533"/>
      <c r="BL97" s="533"/>
      <c r="BM97" s="533"/>
    </row>
    <row r="98" spans="4:65" s="518" customFormat="1">
      <c r="D98" s="772"/>
      <c r="E98" s="772"/>
      <c r="F98" s="522"/>
      <c r="G98" s="517"/>
      <c r="H98" s="519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540"/>
      <c r="BF98" s="540"/>
      <c r="BG98" s="533"/>
      <c r="BH98" s="531"/>
      <c r="BI98" s="532"/>
      <c r="BJ98" s="533"/>
      <c r="BK98" s="533"/>
      <c r="BL98" s="533"/>
      <c r="BM98" s="533"/>
    </row>
    <row r="99" spans="4:65" s="518" customFormat="1">
      <c r="D99" s="772"/>
      <c r="E99" s="772"/>
      <c r="F99" s="522"/>
      <c r="G99" s="517"/>
      <c r="H99" s="519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40"/>
      <c r="BF99" s="540"/>
      <c r="BG99" s="533"/>
      <c r="BH99" s="531"/>
      <c r="BI99" s="532"/>
      <c r="BJ99" s="533"/>
      <c r="BK99" s="533"/>
      <c r="BL99" s="533"/>
      <c r="BM99" s="533"/>
    </row>
    <row r="100" spans="4:65" s="518" customFormat="1">
      <c r="D100" s="772"/>
      <c r="E100" s="772"/>
      <c r="F100" s="522"/>
      <c r="G100" s="517"/>
      <c r="H100" s="519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540"/>
      <c r="BF100" s="540"/>
      <c r="BG100" s="533"/>
      <c r="BH100" s="531"/>
      <c r="BI100" s="532"/>
      <c r="BJ100" s="533"/>
      <c r="BK100" s="533"/>
      <c r="BL100" s="533"/>
      <c r="BM100" s="533"/>
    </row>
    <row r="101" spans="4:65" s="518" customFormat="1">
      <c r="D101" s="772"/>
      <c r="E101" s="772"/>
      <c r="F101" s="522"/>
      <c r="G101" s="517"/>
      <c r="H101" s="519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40"/>
      <c r="BF101" s="540"/>
      <c r="BG101" s="533"/>
      <c r="BH101" s="531"/>
      <c r="BI101" s="532"/>
      <c r="BJ101" s="533"/>
      <c r="BK101" s="533"/>
      <c r="BL101" s="533"/>
      <c r="BM101" s="533"/>
    </row>
    <row r="102" spans="4:65" s="518" customFormat="1">
      <c r="D102" s="772"/>
      <c r="E102" s="772"/>
      <c r="F102" s="522"/>
      <c r="G102" s="517"/>
      <c r="H102" s="519"/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540"/>
      <c r="BF102" s="540"/>
      <c r="BG102" s="533"/>
      <c r="BH102" s="531"/>
      <c r="BI102" s="532"/>
      <c r="BJ102" s="533"/>
      <c r="BK102" s="533"/>
      <c r="BL102" s="533"/>
      <c r="BM102" s="533"/>
    </row>
    <row r="103" spans="4:65" s="518" customFormat="1">
      <c r="D103" s="772"/>
      <c r="E103" s="772"/>
      <c r="F103" s="522"/>
      <c r="G103" s="517"/>
      <c r="H103" s="519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540"/>
      <c r="BF103" s="540"/>
      <c r="BG103" s="533"/>
      <c r="BH103" s="531"/>
      <c r="BI103" s="532"/>
      <c r="BJ103" s="533"/>
      <c r="BK103" s="533"/>
      <c r="BL103" s="533"/>
      <c r="BM103" s="533"/>
    </row>
    <row r="104" spans="4:65" s="518" customFormat="1">
      <c r="D104" s="772"/>
      <c r="E104" s="772"/>
      <c r="F104" s="522"/>
      <c r="G104" s="517"/>
      <c r="H104" s="519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540"/>
      <c r="BF104" s="540"/>
      <c r="BG104" s="533"/>
      <c r="BH104" s="531"/>
      <c r="BI104" s="532"/>
      <c r="BJ104" s="533"/>
      <c r="BK104" s="533"/>
      <c r="BL104" s="533"/>
      <c r="BM104" s="533"/>
    </row>
    <row r="105" spans="4:65" s="518" customFormat="1">
      <c r="D105" s="772"/>
      <c r="E105" s="772"/>
      <c r="F105" s="522"/>
      <c r="G105" s="517"/>
      <c r="H105" s="519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540"/>
      <c r="BF105" s="540"/>
      <c r="BG105" s="533"/>
      <c r="BH105" s="531"/>
      <c r="BI105" s="532"/>
      <c r="BJ105" s="533"/>
      <c r="BK105" s="533"/>
      <c r="BL105" s="533"/>
      <c r="BM105" s="533"/>
    </row>
    <row r="106" spans="4:65" s="518" customFormat="1">
      <c r="D106" s="772"/>
      <c r="E106" s="772"/>
      <c r="F106" s="522"/>
      <c r="G106" s="517"/>
      <c r="H106" s="519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540"/>
      <c r="BF106" s="540"/>
      <c r="BG106" s="533"/>
      <c r="BH106" s="531"/>
      <c r="BI106" s="532"/>
      <c r="BJ106" s="533"/>
      <c r="BK106" s="533"/>
      <c r="BL106" s="533"/>
      <c r="BM106" s="533"/>
    </row>
    <row r="107" spans="4:65" s="518" customFormat="1">
      <c r="D107" s="772"/>
      <c r="E107" s="772"/>
      <c r="F107" s="522"/>
      <c r="G107" s="517"/>
      <c r="H107" s="519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  <c r="AN107" s="533"/>
      <c r="AO107" s="533"/>
      <c r="AP107" s="533"/>
      <c r="AQ107" s="533"/>
      <c r="AR107" s="533"/>
      <c r="AS107" s="533"/>
      <c r="AT107" s="533"/>
      <c r="AU107" s="533"/>
      <c r="AV107" s="533"/>
      <c r="AW107" s="533"/>
      <c r="AX107" s="533"/>
      <c r="AY107" s="533"/>
      <c r="AZ107" s="533"/>
      <c r="BA107" s="533"/>
      <c r="BB107" s="533"/>
      <c r="BC107" s="533"/>
      <c r="BD107" s="533"/>
      <c r="BE107" s="540"/>
      <c r="BF107" s="540"/>
      <c r="BG107" s="533"/>
      <c r="BH107" s="531"/>
      <c r="BI107" s="532"/>
      <c r="BJ107" s="533"/>
      <c r="BK107" s="533"/>
      <c r="BL107" s="533"/>
      <c r="BM107" s="533"/>
    </row>
    <row r="108" spans="4:65" s="518" customFormat="1">
      <c r="D108" s="772"/>
      <c r="E108" s="772"/>
      <c r="F108" s="522"/>
      <c r="G108" s="517"/>
      <c r="H108" s="519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533"/>
      <c r="BC108" s="533"/>
      <c r="BD108" s="533"/>
      <c r="BE108" s="540"/>
      <c r="BF108" s="540"/>
      <c r="BG108" s="533"/>
      <c r="BH108" s="531"/>
      <c r="BI108" s="532"/>
      <c r="BJ108" s="533"/>
      <c r="BK108" s="533"/>
      <c r="BL108" s="533"/>
      <c r="BM108" s="533"/>
    </row>
    <row r="109" spans="4:65" s="518" customFormat="1">
      <c r="D109" s="772"/>
      <c r="E109" s="772"/>
      <c r="F109" s="522"/>
      <c r="G109" s="517"/>
      <c r="H109" s="519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533"/>
      <c r="AS109" s="533"/>
      <c r="AT109" s="533"/>
      <c r="AU109" s="533"/>
      <c r="AV109" s="533"/>
      <c r="AW109" s="533"/>
      <c r="AX109" s="533"/>
      <c r="AY109" s="533"/>
      <c r="AZ109" s="533"/>
      <c r="BA109" s="533"/>
      <c r="BB109" s="533"/>
      <c r="BC109" s="533"/>
      <c r="BD109" s="533"/>
      <c r="BE109" s="540"/>
      <c r="BF109" s="540"/>
      <c r="BG109" s="533"/>
      <c r="BH109" s="531"/>
      <c r="BI109" s="532"/>
      <c r="BJ109" s="533"/>
      <c r="BK109" s="533"/>
      <c r="BL109" s="533"/>
      <c r="BM109" s="533"/>
    </row>
    <row r="110" spans="4:65" s="518" customFormat="1">
      <c r="D110" s="772"/>
      <c r="E110" s="772"/>
      <c r="F110" s="522"/>
      <c r="G110" s="517"/>
      <c r="H110" s="519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533"/>
      <c r="AL110" s="533"/>
      <c r="AM110" s="533"/>
      <c r="AN110" s="533"/>
      <c r="AO110" s="533"/>
      <c r="AP110" s="533"/>
      <c r="AQ110" s="533"/>
      <c r="AR110" s="533"/>
      <c r="AS110" s="533"/>
      <c r="AT110" s="533"/>
      <c r="AU110" s="533"/>
      <c r="AV110" s="533"/>
      <c r="AW110" s="533"/>
      <c r="AX110" s="533"/>
      <c r="AY110" s="533"/>
      <c r="AZ110" s="533"/>
      <c r="BA110" s="533"/>
      <c r="BB110" s="533"/>
      <c r="BC110" s="533"/>
      <c r="BD110" s="533"/>
      <c r="BE110" s="540"/>
      <c r="BF110" s="540"/>
      <c r="BG110" s="533"/>
      <c r="BH110" s="531"/>
      <c r="BI110" s="532"/>
      <c r="BJ110" s="533"/>
      <c r="BK110" s="533"/>
      <c r="BL110" s="533"/>
      <c r="BM110" s="533"/>
    </row>
    <row r="111" spans="4:65" s="518" customFormat="1">
      <c r="D111" s="772"/>
      <c r="E111" s="772"/>
      <c r="F111" s="522"/>
      <c r="G111" s="517"/>
      <c r="H111" s="519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533"/>
      <c r="AL111" s="533"/>
      <c r="AM111" s="533"/>
      <c r="AN111" s="533"/>
      <c r="AO111" s="533"/>
      <c r="AP111" s="533"/>
      <c r="AQ111" s="533"/>
      <c r="AR111" s="533"/>
      <c r="AS111" s="533"/>
      <c r="AT111" s="533"/>
      <c r="AU111" s="533"/>
      <c r="AV111" s="533"/>
      <c r="AW111" s="533"/>
      <c r="AX111" s="533"/>
      <c r="AY111" s="533"/>
      <c r="AZ111" s="533"/>
      <c r="BA111" s="533"/>
      <c r="BB111" s="533"/>
      <c r="BC111" s="533"/>
      <c r="BD111" s="533"/>
      <c r="BE111" s="540"/>
      <c r="BF111" s="540"/>
      <c r="BG111" s="533"/>
      <c r="BH111" s="531"/>
      <c r="BI111" s="532"/>
      <c r="BJ111" s="533"/>
      <c r="BK111" s="533"/>
      <c r="BL111" s="533"/>
      <c r="BM111" s="533"/>
    </row>
    <row r="112" spans="4:65" s="518" customFormat="1">
      <c r="D112" s="772"/>
      <c r="E112" s="772"/>
      <c r="F112" s="522"/>
      <c r="G112" s="517"/>
      <c r="H112" s="519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533"/>
      <c r="AM112" s="533"/>
      <c r="AN112" s="533"/>
      <c r="AO112" s="533"/>
      <c r="AP112" s="533"/>
      <c r="AQ112" s="533"/>
      <c r="AR112" s="533"/>
      <c r="AS112" s="533"/>
      <c r="AT112" s="533"/>
      <c r="AU112" s="533"/>
      <c r="AV112" s="533"/>
      <c r="AW112" s="533"/>
      <c r="AX112" s="533"/>
      <c r="AY112" s="533"/>
      <c r="AZ112" s="533"/>
      <c r="BA112" s="533"/>
      <c r="BB112" s="533"/>
      <c r="BC112" s="533"/>
      <c r="BD112" s="533"/>
      <c r="BE112" s="540"/>
      <c r="BF112" s="540"/>
      <c r="BG112" s="533"/>
      <c r="BH112" s="531"/>
      <c r="BI112" s="532"/>
      <c r="BJ112" s="533"/>
      <c r="BK112" s="533"/>
      <c r="BL112" s="533"/>
      <c r="BM112" s="533"/>
    </row>
    <row r="113" spans="4:65" s="518" customFormat="1">
      <c r="D113" s="772"/>
      <c r="E113" s="772"/>
      <c r="F113" s="522"/>
      <c r="G113" s="517"/>
      <c r="H113" s="519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533"/>
      <c r="AS113" s="533"/>
      <c r="AT113" s="533"/>
      <c r="AU113" s="533"/>
      <c r="AV113" s="533"/>
      <c r="AW113" s="533"/>
      <c r="AX113" s="533"/>
      <c r="AY113" s="533"/>
      <c r="AZ113" s="533"/>
      <c r="BA113" s="533"/>
      <c r="BB113" s="533"/>
      <c r="BC113" s="533"/>
      <c r="BD113" s="533"/>
      <c r="BE113" s="540"/>
      <c r="BF113" s="540"/>
      <c r="BG113" s="533"/>
      <c r="BH113" s="531"/>
      <c r="BI113" s="532"/>
      <c r="BJ113" s="533"/>
      <c r="BK113" s="533"/>
      <c r="BL113" s="533"/>
      <c r="BM113" s="533"/>
    </row>
    <row r="114" spans="4:65" s="518" customFormat="1">
      <c r="D114" s="772"/>
      <c r="E114" s="772"/>
      <c r="F114" s="522"/>
      <c r="G114" s="517"/>
      <c r="H114" s="519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533"/>
      <c r="AS114" s="533"/>
      <c r="AT114" s="533"/>
      <c r="AU114" s="533"/>
      <c r="AV114" s="533"/>
      <c r="AW114" s="533"/>
      <c r="AX114" s="533"/>
      <c r="AY114" s="533"/>
      <c r="AZ114" s="533"/>
      <c r="BA114" s="533"/>
      <c r="BB114" s="533"/>
      <c r="BC114" s="533"/>
      <c r="BD114" s="533"/>
      <c r="BE114" s="540"/>
      <c r="BF114" s="540"/>
      <c r="BG114" s="533"/>
      <c r="BH114" s="531"/>
      <c r="BI114" s="532"/>
      <c r="BJ114" s="533"/>
      <c r="BK114" s="533"/>
      <c r="BL114" s="533"/>
      <c r="BM114" s="533"/>
    </row>
    <row r="115" spans="4:65" s="518" customFormat="1">
      <c r="D115" s="772"/>
      <c r="E115" s="772"/>
      <c r="F115" s="522"/>
      <c r="G115" s="517"/>
      <c r="H115" s="519"/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  <c r="AL115" s="533"/>
      <c r="AM115" s="533"/>
      <c r="AN115" s="533"/>
      <c r="AO115" s="533"/>
      <c r="AP115" s="533"/>
      <c r="AQ115" s="533"/>
      <c r="AR115" s="533"/>
      <c r="AS115" s="533"/>
      <c r="AT115" s="533"/>
      <c r="AU115" s="533"/>
      <c r="AV115" s="533"/>
      <c r="AW115" s="533"/>
      <c r="AX115" s="533"/>
      <c r="AY115" s="533"/>
      <c r="AZ115" s="533"/>
      <c r="BA115" s="533"/>
      <c r="BB115" s="533"/>
      <c r="BC115" s="533"/>
      <c r="BD115" s="533"/>
      <c r="BE115" s="540"/>
      <c r="BF115" s="540"/>
      <c r="BG115" s="533"/>
      <c r="BH115" s="531"/>
      <c r="BI115" s="532"/>
      <c r="BJ115" s="533"/>
      <c r="BK115" s="533"/>
      <c r="BL115" s="533"/>
      <c r="BM115" s="533"/>
    </row>
    <row r="116" spans="4:65" s="518" customFormat="1">
      <c r="D116" s="772"/>
      <c r="E116" s="772"/>
      <c r="F116" s="522"/>
      <c r="G116" s="517"/>
      <c r="H116" s="519"/>
      <c r="I116" s="533"/>
      <c r="J116" s="533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33"/>
      <c r="V116" s="533"/>
      <c r="W116" s="533"/>
      <c r="X116" s="533"/>
      <c r="Y116" s="533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3"/>
      <c r="AJ116" s="533"/>
      <c r="AK116" s="533"/>
      <c r="AL116" s="533"/>
      <c r="AM116" s="533"/>
      <c r="AN116" s="533"/>
      <c r="AO116" s="533"/>
      <c r="AP116" s="533"/>
      <c r="AQ116" s="533"/>
      <c r="AR116" s="533"/>
      <c r="AS116" s="533"/>
      <c r="AT116" s="533"/>
      <c r="AU116" s="533"/>
      <c r="AV116" s="533"/>
      <c r="AW116" s="533"/>
      <c r="AX116" s="533"/>
      <c r="AY116" s="533"/>
      <c r="AZ116" s="533"/>
      <c r="BA116" s="533"/>
      <c r="BB116" s="533"/>
      <c r="BC116" s="533"/>
      <c r="BD116" s="533"/>
      <c r="BE116" s="540"/>
      <c r="BF116" s="540"/>
      <c r="BG116" s="533"/>
      <c r="BH116" s="531"/>
      <c r="BI116" s="532"/>
      <c r="BJ116" s="533"/>
      <c r="BK116" s="533"/>
      <c r="BL116" s="533"/>
      <c r="BM116" s="533"/>
    </row>
    <row r="117" spans="4:65" s="518" customFormat="1">
      <c r="D117" s="772"/>
      <c r="E117" s="772"/>
      <c r="F117" s="522"/>
      <c r="G117" s="517"/>
      <c r="H117" s="519"/>
      <c r="I117" s="533"/>
      <c r="J117" s="533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33"/>
      <c r="V117" s="533"/>
      <c r="W117" s="533"/>
      <c r="X117" s="533"/>
      <c r="Y117" s="533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3"/>
      <c r="AJ117" s="533"/>
      <c r="AK117" s="533"/>
      <c r="AL117" s="533"/>
      <c r="AM117" s="533"/>
      <c r="AN117" s="533"/>
      <c r="AO117" s="533"/>
      <c r="AP117" s="533"/>
      <c r="AQ117" s="533"/>
      <c r="AR117" s="533"/>
      <c r="AS117" s="533"/>
      <c r="AT117" s="533"/>
      <c r="AU117" s="533"/>
      <c r="AV117" s="533"/>
      <c r="AW117" s="533"/>
      <c r="AX117" s="533"/>
      <c r="AY117" s="533"/>
      <c r="AZ117" s="533"/>
      <c r="BA117" s="533"/>
      <c r="BB117" s="533"/>
      <c r="BC117" s="533"/>
      <c r="BD117" s="533"/>
      <c r="BE117" s="540"/>
      <c r="BF117" s="540"/>
      <c r="BG117" s="533"/>
      <c r="BH117" s="531"/>
      <c r="BI117" s="532"/>
      <c r="BJ117" s="533"/>
      <c r="BK117" s="533"/>
      <c r="BL117" s="533"/>
      <c r="BM117" s="533"/>
    </row>
    <row r="118" spans="4:65" s="518" customFormat="1">
      <c r="D118" s="772"/>
      <c r="E118" s="772"/>
      <c r="F118" s="522"/>
      <c r="G118" s="517"/>
      <c r="H118" s="519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3"/>
      <c r="AR118" s="533"/>
      <c r="AS118" s="533"/>
      <c r="AT118" s="533"/>
      <c r="AU118" s="533"/>
      <c r="AV118" s="533"/>
      <c r="AW118" s="533"/>
      <c r="AX118" s="533"/>
      <c r="AY118" s="533"/>
      <c r="AZ118" s="533"/>
      <c r="BA118" s="533"/>
      <c r="BB118" s="533"/>
      <c r="BC118" s="533"/>
      <c r="BD118" s="533"/>
      <c r="BE118" s="540"/>
      <c r="BF118" s="540"/>
      <c r="BG118" s="533"/>
      <c r="BH118" s="531"/>
      <c r="BI118" s="532"/>
      <c r="BJ118" s="533"/>
      <c r="BK118" s="533"/>
      <c r="BL118" s="533"/>
      <c r="BM118" s="533"/>
    </row>
    <row r="119" spans="4:65" s="518" customFormat="1">
      <c r="D119" s="772"/>
      <c r="E119" s="772"/>
      <c r="F119" s="522"/>
      <c r="G119" s="517"/>
      <c r="H119" s="519"/>
      <c r="I119" s="533"/>
      <c r="J119" s="533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  <c r="U119" s="533"/>
      <c r="V119" s="533"/>
      <c r="W119" s="533"/>
      <c r="X119" s="533"/>
      <c r="Y119" s="533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533"/>
      <c r="AS119" s="533"/>
      <c r="AT119" s="533"/>
      <c r="AU119" s="533"/>
      <c r="AV119" s="533"/>
      <c r="AW119" s="533"/>
      <c r="AX119" s="533"/>
      <c r="AY119" s="533"/>
      <c r="AZ119" s="533"/>
      <c r="BA119" s="533"/>
      <c r="BB119" s="533"/>
      <c r="BC119" s="533"/>
      <c r="BD119" s="533"/>
      <c r="BE119" s="540"/>
      <c r="BF119" s="540"/>
      <c r="BG119" s="533"/>
      <c r="BH119" s="531"/>
      <c r="BI119" s="532"/>
      <c r="BJ119" s="533"/>
      <c r="BK119" s="533"/>
      <c r="BL119" s="533"/>
      <c r="BM119" s="533"/>
    </row>
    <row r="120" spans="4:65" s="518" customFormat="1">
      <c r="D120" s="772"/>
      <c r="E120" s="772"/>
      <c r="F120" s="522"/>
      <c r="G120" s="517"/>
      <c r="H120" s="519"/>
      <c r="I120" s="533"/>
      <c r="J120" s="533"/>
      <c r="K120" s="533"/>
      <c r="L120" s="533"/>
      <c r="M120" s="533"/>
      <c r="N120" s="533"/>
      <c r="O120" s="533"/>
      <c r="P120" s="533"/>
      <c r="Q120" s="533"/>
      <c r="R120" s="533"/>
      <c r="S120" s="533"/>
      <c r="T120" s="533"/>
      <c r="U120" s="533"/>
      <c r="V120" s="533"/>
      <c r="W120" s="533"/>
      <c r="X120" s="533"/>
      <c r="Y120" s="533"/>
      <c r="Z120" s="533"/>
      <c r="AA120" s="533"/>
      <c r="AB120" s="533"/>
      <c r="AC120" s="533"/>
      <c r="AD120" s="533"/>
      <c r="AE120" s="533"/>
      <c r="AF120" s="533"/>
      <c r="AG120" s="533"/>
      <c r="AH120" s="533"/>
      <c r="AI120" s="533"/>
      <c r="AJ120" s="533"/>
      <c r="AK120" s="533"/>
      <c r="AL120" s="533"/>
      <c r="AM120" s="533"/>
      <c r="AN120" s="533"/>
      <c r="AO120" s="533"/>
      <c r="AP120" s="533"/>
      <c r="AQ120" s="533"/>
      <c r="AR120" s="533"/>
      <c r="AS120" s="533"/>
      <c r="AT120" s="533"/>
      <c r="AU120" s="533"/>
      <c r="AV120" s="533"/>
      <c r="AW120" s="533"/>
      <c r="AX120" s="533"/>
      <c r="AY120" s="533"/>
      <c r="AZ120" s="533"/>
      <c r="BA120" s="533"/>
      <c r="BB120" s="533"/>
      <c r="BC120" s="533"/>
      <c r="BD120" s="533"/>
      <c r="BE120" s="540"/>
      <c r="BF120" s="540"/>
      <c r="BG120" s="533"/>
      <c r="BH120" s="531"/>
      <c r="BI120" s="532"/>
      <c r="BJ120" s="533"/>
      <c r="BK120" s="533"/>
      <c r="BL120" s="533"/>
      <c r="BM120" s="533"/>
    </row>
    <row r="121" spans="4:65" s="518" customFormat="1">
      <c r="D121" s="772"/>
      <c r="E121" s="772"/>
      <c r="F121" s="522"/>
      <c r="G121" s="517"/>
      <c r="H121" s="519"/>
      <c r="I121" s="533"/>
      <c r="J121" s="533"/>
      <c r="K121" s="533"/>
      <c r="L121" s="533"/>
      <c r="M121" s="533"/>
      <c r="N121" s="533"/>
      <c r="O121" s="533"/>
      <c r="P121" s="533"/>
      <c r="Q121" s="533"/>
      <c r="R121" s="533"/>
      <c r="S121" s="533"/>
      <c r="T121" s="533"/>
      <c r="U121" s="533"/>
      <c r="V121" s="533"/>
      <c r="W121" s="533"/>
      <c r="X121" s="533"/>
      <c r="Y121" s="533"/>
      <c r="Z121" s="533"/>
      <c r="AA121" s="533"/>
      <c r="AB121" s="533"/>
      <c r="AC121" s="533"/>
      <c r="AD121" s="533"/>
      <c r="AE121" s="533"/>
      <c r="AF121" s="533"/>
      <c r="AG121" s="533"/>
      <c r="AH121" s="533"/>
      <c r="AI121" s="533"/>
      <c r="AJ121" s="533"/>
      <c r="AK121" s="533"/>
      <c r="AL121" s="533"/>
      <c r="AM121" s="533"/>
      <c r="AN121" s="533"/>
      <c r="AO121" s="533"/>
      <c r="AP121" s="533"/>
      <c r="AQ121" s="533"/>
      <c r="AR121" s="533"/>
      <c r="AS121" s="533"/>
      <c r="AT121" s="533"/>
      <c r="AU121" s="533"/>
      <c r="AV121" s="533"/>
      <c r="AW121" s="533"/>
      <c r="AX121" s="533"/>
      <c r="AY121" s="533"/>
      <c r="AZ121" s="533"/>
      <c r="BA121" s="533"/>
      <c r="BB121" s="533"/>
      <c r="BC121" s="533"/>
      <c r="BD121" s="533"/>
      <c r="BE121" s="540"/>
      <c r="BF121" s="540"/>
      <c r="BG121" s="533"/>
      <c r="BH121" s="531"/>
      <c r="BI121" s="532"/>
      <c r="BJ121" s="533"/>
      <c r="BK121" s="533"/>
      <c r="BL121" s="533"/>
      <c r="BM121" s="533"/>
    </row>
    <row r="122" spans="4:65" s="518" customFormat="1">
      <c r="D122" s="772"/>
      <c r="E122" s="772"/>
      <c r="F122" s="522"/>
      <c r="G122" s="517"/>
      <c r="H122" s="519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33"/>
      <c r="V122" s="533"/>
      <c r="W122" s="533"/>
      <c r="X122" s="533"/>
      <c r="Y122" s="533"/>
      <c r="Z122" s="533"/>
      <c r="AA122" s="533"/>
      <c r="AB122" s="533"/>
      <c r="AC122" s="533"/>
      <c r="AD122" s="533"/>
      <c r="AE122" s="533"/>
      <c r="AF122" s="533"/>
      <c r="AG122" s="533"/>
      <c r="AH122" s="533"/>
      <c r="AI122" s="533"/>
      <c r="AJ122" s="533"/>
      <c r="AK122" s="533"/>
      <c r="AL122" s="533"/>
      <c r="AM122" s="533"/>
      <c r="AN122" s="533"/>
      <c r="AO122" s="533"/>
      <c r="AP122" s="533"/>
      <c r="AQ122" s="533"/>
      <c r="AR122" s="533"/>
      <c r="AS122" s="533"/>
      <c r="AT122" s="533"/>
      <c r="AU122" s="533"/>
      <c r="AV122" s="533"/>
      <c r="AW122" s="533"/>
      <c r="AX122" s="533"/>
      <c r="AY122" s="533"/>
      <c r="AZ122" s="533"/>
      <c r="BA122" s="533"/>
      <c r="BB122" s="533"/>
      <c r="BC122" s="533"/>
      <c r="BD122" s="533"/>
      <c r="BE122" s="540"/>
      <c r="BF122" s="540"/>
      <c r="BG122" s="533"/>
      <c r="BH122" s="531"/>
      <c r="BI122" s="532"/>
      <c r="BJ122" s="533"/>
      <c r="BK122" s="533"/>
      <c r="BL122" s="533"/>
      <c r="BM122" s="533"/>
    </row>
    <row r="123" spans="4:65" s="518" customFormat="1">
      <c r="D123" s="772"/>
      <c r="E123" s="772"/>
      <c r="F123" s="522"/>
      <c r="G123" s="517"/>
      <c r="H123" s="519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533"/>
      <c r="AM123" s="533"/>
      <c r="AN123" s="533"/>
      <c r="AO123" s="533"/>
      <c r="AP123" s="533"/>
      <c r="AQ123" s="533"/>
      <c r="AR123" s="533"/>
      <c r="AS123" s="533"/>
      <c r="AT123" s="533"/>
      <c r="AU123" s="533"/>
      <c r="AV123" s="533"/>
      <c r="AW123" s="533"/>
      <c r="AX123" s="533"/>
      <c r="AY123" s="533"/>
      <c r="AZ123" s="533"/>
      <c r="BA123" s="533"/>
      <c r="BB123" s="533"/>
      <c r="BC123" s="533"/>
      <c r="BD123" s="533"/>
      <c r="BE123" s="540"/>
      <c r="BF123" s="540"/>
      <c r="BG123" s="533"/>
      <c r="BH123" s="531"/>
      <c r="BI123" s="532"/>
      <c r="BJ123" s="533"/>
      <c r="BK123" s="533"/>
      <c r="BL123" s="533"/>
      <c r="BM123" s="533"/>
    </row>
    <row r="124" spans="4:65" s="518" customFormat="1">
      <c r="D124" s="772"/>
      <c r="E124" s="772"/>
      <c r="F124" s="522"/>
      <c r="G124" s="517"/>
      <c r="H124" s="519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533"/>
      <c r="AT124" s="533"/>
      <c r="AU124" s="533"/>
      <c r="AV124" s="533"/>
      <c r="AW124" s="533"/>
      <c r="AX124" s="533"/>
      <c r="AY124" s="533"/>
      <c r="AZ124" s="533"/>
      <c r="BA124" s="533"/>
      <c r="BB124" s="533"/>
      <c r="BC124" s="533"/>
      <c r="BD124" s="533"/>
      <c r="BE124" s="540"/>
      <c r="BF124" s="540"/>
      <c r="BG124" s="533"/>
      <c r="BH124" s="531"/>
      <c r="BI124" s="532"/>
      <c r="BJ124" s="533"/>
      <c r="BK124" s="533"/>
      <c r="BL124" s="533"/>
      <c r="BM124" s="533"/>
    </row>
    <row r="125" spans="4:65" s="518" customFormat="1">
      <c r="D125" s="772"/>
      <c r="E125" s="772"/>
      <c r="F125" s="522"/>
      <c r="G125" s="517"/>
      <c r="H125" s="519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533"/>
      <c r="AT125" s="533"/>
      <c r="AU125" s="533"/>
      <c r="AV125" s="533"/>
      <c r="AW125" s="533"/>
      <c r="AX125" s="533"/>
      <c r="AY125" s="533"/>
      <c r="AZ125" s="533"/>
      <c r="BA125" s="533"/>
      <c r="BB125" s="533"/>
      <c r="BC125" s="533"/>
      <c r="BD125" s="533"/>
      <c r="BE125" s="540"/>
      <c r="BF125" s="540"/>
      <c r="BG125" s="533"/>
      <c r="BH125" s="531"/>
      <c r="BI125" s="532"/>
      <c r="BJ125" s="533"/>
      <c r="BK125" s="533"/>
      <c r="BL125" s="533"/>
      <c r="BM125" s="533"/>
    </row>
    <row r="126" spans="4:65" s="518" customFormat="1">
      <c r="D126" s="772"/>
      <c r="E126" s="772"/>
      <c r="F126" s="522"/>
      <c r="G126" s="517"/>
      <c r="H126" s="519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533"/>
      <c r="AT126" s="533"/>
      <c r="AU126" s="533"/>
      <c r="AV126" s="533"/>
      <c r="AW126" s="533"/>
      <c r="AX126" s="533"/>
      <c r="AY126" s="533"/>
      <c r="AZ126" s="533"/>
      <c r="BA126" s="533"/>
      <c r="BB126" s="533"/>
      <c r="BC126" s="533"/>
      <c r="BD126" s="533"/>
      <c r="BE126" s="540"/>
      <c r="BF126" s="540"/>
      <c r="BG126" s="533"/>
      <c r="BH126" s="531"/>
      <c r="BI126" s="532"/>
      <c r="BJ126" s="533"/>
      <c r="BK126" s="533"/>
      <c r="BL126" s="533"/>
      <c r="BM126" s="533"/>
    </row>
    <row r="127" spans="4:65" s="518" customFormat="1">
      <c r="D127" s="772"/>
      <c r="E127" s="772"/>
      <c r="F127" s="522"/>
      <c r="G127" s="517"/>
      <c r="H127" s="519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533"/>
      <c r="AT127" s="533"/>
      <c r="AU127" s="533"/>
      <c r="AV127" s="533"/>
      <c r="AW127" s="533"/>
      <c r="AX127" s="533"/>
      <c r="AY127" s="533"/>
      <c r="AZ127" s="533"/>
      <c r="BA127" s="533"/>
      <c r="BB127" s="533"/>
      <c r="BC127" s="533"/>
      <c r="BD127" s="533"/>
      <c r="BE127" s="540"/>
      <c r="BF127" s="540"/>
      <c r="BG127" s="533"/>
      <c r="BH127" s="531"/>
      <c r="BI127" s="532"/>
      <c r="BJ127" s="533"/>
      <c r="BK127" s="533"/>
      <c r="BL127" s="533"/>
      <c r="BM127" s="533"/>
    </row>
    <row r="128" spans="4:65" s="518" customFormat="1">
      <c r="D128" s="772"/>
      <c r="E128" s="772"/>
      <c r="F128" s="522"/>
      <c r="G128" s="517"/>
      <c r="H128" s="519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533"/>
      <c r="AT128" s="533"/>
      <c r="AU128" s="533"/>
      <c r="AV128" s="533"/>
      <c r="AW128" s="533"/>
      <c r="AX128" s="533"/>
      <c r="AY128" s="533"/>
      <c r="AZ128" s="533"/>
      <c r="BA128" s="533"/>
      <c r="BB128" s="533"/>
      <c r="BC128" s="533"/>
      <c r="BD128" s="533"/>
      <c r="BE128" s="540"/>
      <c r="BF128" s="540"/>
      <c r="BG128" s="533"/>
      <c r="BH128" s="531"/>
      <c r="BI128" s="532"/>
      <c r="BJ128" s="533"/>
      <c r="BK128" s="533"/>
      <c r="BL128" s="533"/>
      <c r="BM128" s="533"/>
    </row>
    <row r="129" spans="4:65" s="518" customFormat="1">
      <c r="D129" s="772"/>
      <c r="E129" s="772"/>
      <c r="F129" s="522"/>
      <c r="G129" s="517"/>
      <c r="H129" s="519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533"/>
      <c r="AT129" s="533"/>
      <c r="AU129" s="533"/>
      <c r="AV129" s="533"/>
      <c r="AW129" s="533"/>
      <c r="AX129" s="533"/>
      <c r="AY129" s="533"/>
      <c r="AZ129" s="533"/>
      <c r="BA129" s="533"/>
      <c r="BB129" s="533"/>
      <c r="BC129" s="533"/>
      <c r="BD129" s="533"/>
      <c r="BE129" s="540"/>
      <c r="BF129" s="540"/>
      <c r="BG129" s="533"/>
      <c r="BH129" s="531"/>
      <c r="BI129" s="532"/>
      <c r="BJ129" s="533"/>
      <c r="BK129" s="533"/>
      <c r="BL129" s="533"/>
      <c r="BM129" s="533"/>
    </row>
    <row r="130" spans="4:65" s="518" customFormat="1">
      <c r="D130" s="772"/>
      <c r="E130" s="772"/>
      <c r="F130" s="522"/>
      <c r="G130" s="517"/>
      <c r="H130" s="519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533"/>
      <c r="AT130" s="533"/>
      <c r="AU130" s="533"/>
      <c r="AV130" s="533"/>
      <c r="AW130" s="533"/>
      <c r="AX130" s="533"/>
      <c r="AY130" s="533"/>
      <c r="AZ130" s="533"/>
      <c r="BA130" s="533"/>
      <c r="BB130" s="533"/>
      <c r="BC130" s="533"/>
      <c r="BD130" s="533"/>
      <c r="BE130" s="540"/>
      <c r="BF130" s="540"/>
      <c r="BG130" s="533"/>
      <c r="BH130" s="531"/>
      <c r="BI130" s="532"/>
      <c r="BJ130" s="533"/>
      <c r="BK130" s="533"/>
      <c r="BL130" s="533"/>
      <c r="BM130" s="533"/>
    </row>
    <row r="131" spans="4:65" s="518" customFormat="1">
      <c r="D131" s="772"/>
      <c r="E131" s="772"/>
      <c r="F131" s="522"/>
      <c r="G131" s="517"/>
      <c r="H131" s="519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533"/>
      <c r="AT131" s="533"/>
      <c r="AU131" s="533"/>
      <c r="AV131" s="533"/>
      <c r="AW131" s="533"/>
      <c r="AX131" s="533"/>
      <c r="AY131" s="533"/>
      <c r="AZ131" s="533"/>
      <c r="BA131" s="533"/>
      <c r="BB131" s="533"/>
      <c r="BC131" s="533"/>
      <c r="BD131" s="533"/>
      <c r="BE131" s="540"/>
      <c r="BF131" s="540"/>
      <c r="BG131" s="533"/>
      <c r="BH131" s="531"/>
      <c r="BI131" s="532"/>
      <c r="BJ131" s="533"/>
      <c r="BK131" s="533"/>
      <c r="BL131" s="533"/>
      <c r="BM131" s="533"/>
    </row>
    <row r="132" spans="4:65" s="518" customFormat="1">
      <c r="D132" s="772"/>
      <c r="E132" s="772"/>
      <c r="F132" s="522"/>
      <c r="G132" s="517"/>
      <c r="H132" s="519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533"/>
      <c r="AT132" s="533"/>
      <c r="AU132" s="533"/>
      <c r="AV132" s="533"/>
      <c r="AW132" s="533"/>
      <c r="AX132" s="533"/>
      <c r="AY132" s="533"/>
      <c r="AZ132" s="533"/>
      <c r="BA132" s="533"/>
      <c r="BB132" s="533"/>
      <c r="BC132" s="533"/>
      <c r="BD132" s="533"/>
      <c r="BE132" s="540"/>
      <c r="BF132" s="540"/>
      <c r="BG132" s="533"/>
      <c r="BH132" s="531"/>
      <c r="BI132" s="532"/>
      <c r="BJ132" s="533"/>
      <c r="BK132" s="533"/>
      <c r="BL132" s="533"/>
      <c r="BM132" s="533"/>
    </row>
    <row r="133" spans="4:65" s="518" customFormat="1">
      <c r="D133" s="772"/>
      <c r="E133" s="772"/>
      <c r="F133" s="522"/>
      <c r="G133" s="517"/>
      <c r="H133" s="519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  <c r="AS133" s="533"/>
      <c r="AT133" s="533"/>
      <c r="AU133" s="533"/>
      <c r="AV133" s="533"/>
      <c r="AW133" s="533"/>
      <c r="AX133" s="533"/>
      <c r="AY133" s="533"/>
      <c r="AZ133" s="533"/>
      <c r="BA133" s="533"/>
      <c r="BB133" s="533"/>
      <c r="BC133" s="533"/>
      <c r="BD133" s="533"/>
      <c r="BE133" s="540"/>
      <c r="BF133" s="540"/>
      <c r="BG133" s="533"/>
      <c r="BH133" s="531"/>
      <c r="BI133" s="532"/>
      <c r="BJ133" s="533"/>
      <c r="BK133" s="533"/>
      <c r="BL133" s="533"/>
      <c r="BM133" s="533"/>
    </row>
    <row r="134" spans="4:65" s="518" customFormat="1">
      <c r="D134" s="772"/>
      <c r="E134" s="772"/>
      <c r="F134" s="522"/>
      <c r="G134" s="517"/>
      <c r="H134" s="519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  <c r="AS134" s="533"/>
      <c r="AT134" s="533"/>
      <c r="AU134" s="533"/>
      <c r="AV134" s="533"/>
      <c r="AW134" s="533"/>
      <c r="AX134" s="533"/>
      <c r="AY134" s="533"/>
      <c r="AZ134" s="533"/>
      <c r="BA134" s="533"/>
      <c r="BB134" s="533"/>
      <c r="BC134" s="533"/>
      <c r="BD134" s="533"/>
      <c r="BE134" s="540"/>
      <c r="BF134" s="540"/>
      <c r="BG134" s="533"/>
      <c r="BH134" s="531"/>
      <c r="BI134" s="532"/>
      <c r="BJ134" s="533"/>
      <c r="BK134" s="533"/>
      <c r="BL134" s="533"/>
      <c r="BM134" s="533"/>
    </row>
    <row r="135" spans="4:65" s="518" customFormat="1">
      <c r="D135" s="772"/>
      <c r="E135" s="772"/>
      <c r="F135" s="522"/>
      <c r="G135" s="517"/>
      <c r="H135" s="519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  <c r="AS135" s="533"/>
      <c r="AT135" s="533"/>
      <c r="AU135" s="533"/>
      <c r="AV135" s="533"/>
      <c r="AW135" s="533"/>
      <c r="AX135" s="533"/>
      <c r="AY135" s="533"/>
      <c r="AZ135" s="533"/>
      <c r="BA135" s="533"/>
      <c r="BB135" s="533"/>
      <c r="BC135" s="533"/>
      <c r="BD135" s="533"/>
      <c r="BE135" s="540"/>
      <c r="BF135" s="540"/>
      <c r="BG135" s="533"/>
      <c r="BH135" s="531"/>
      <c r="BI135" s="532"/>
      <c r="BJ135" s="533"/>
      <c r="BK135" s="533"/>
      <c r="BL135" s="533"/>
      <c r="BM135" s="533"/>
    </row>
    <row r="136" spans="4:65" s="518" customFormat="1">
      <c r="D136" s="772"/>
      <c r="E136" s="772"/>
      <c r="F136" s="522"/>
      <c r="G136" s="517"/>
      <c r="H136" s="519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  <c r="AS136" s="533"/>
      <c r="AT136" s="533"/>
      <c r="AU136" s="533"/>
      <c r="AV136" s="533"/>
      <c r="AW136" s="533"/>
      <c r="AX136" s="533"/>
      <c r="AY136" s="533"/>
      <c r="AZ136" s="533"/>
      <c r="BA136" s="533"/>
      <c r="BB136" s="533"/>
      <c r="BC136" s="533"/>
      <c r="BD136" s="533"/>
      <c r="BE136" s="540"/>
      <c r="BF136" s="540"/>
      <c r="BG136" s="533"/>
      <c r="BH136" s="531"/>
      <c r="BI136" s="532"/>
      <c r="BJ136" s="533"/>
      <c r="BK136" s="533"/>
      <c r="BL136" s="533"/>
      <c r="BM136" s="533"/>
    </row>
    <row r="137" spans="4:65" s="518" customFormat="1">
      <c r="D137" s="772"/>
      <c r="E137" s="772"/>
      <c r="F137" s="522"/>
      <c r="G137" s="517"/>
      <c r="H137" s="519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  <c r="AS137" s="533"/>
      <c r="AT137" s="533"/>
      <c r="AU137" s="533"/>
      <c r="AV137" s="533"/>
      <c r="AW137" s="533"/>
      <c r="AX137" s="533"/>
      <c r="AY137" s="533"/>
      <c r="AZ137" s="533"/>
      <c r="BA137" s="533"/>
      <c r="BB137" s="533"/>
      <c r="BC137" s="533"/>
      <c r="BD137" s="533"/>
      <c r="BE137" s="540"/>
      <c r="BF137" s="540"/>
      <c r="BG137" s="533"/>
      <c r="BH137" s="531"/>
      <c r="BI137" s="532"/>
      <c r="BJ137" s="533"/>
      <c r="BK137" s="533"/>
      <c r="BL137" s="533"/>
      <c r="BM137" s="533"/>
    </row>
    <row r="138" spans="4:65" s="518" customFormat="1">
      <c r="D138" s="772"/>
      <c r="E138" s="772"/>
      <c r="F138" s="522"/>
      <c r="G138" s="517"/>
      <c r="H138" s="519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  <c r="AS138" s="533"/>
      <c r="AT138" s="533"/>
      <c r="AU138" s="533"/>
      <c r="AV138" s="533"/>
      <c r="AW138" s="533"/>
      <c r="AX138" s="533"/>
      <c r="AY138" s="533"/>
      <c r="AZ138" s="533"/>
      <c r="BA138" s="533"/>
      <c r="BB138" s="533"/>
      <c r="BC138" s="533"/>
      <c r="BD138" s="533"/>
      <c r="BE138" s="540"/>
      <c r="BF138" s="540"/>
      <c r="BG138" s="533"/>
      <c r="BH138" s="531"/>
      <c r="BI138" s="532"/>
      <c r="BJ138" s="533"/>
      <c r="BK138" s="533"/>
      <c r="BL138" s="533"/>
      <c r="BM138" s="533"/>
    </row>
    <row r="139" spans="4:65" s="518" customFormat="1">
      <c r="D139" s="772"/>
      <c r="E139" s="772"/>
      <c r="F139" s="522"/>
      <c r="G139" s="517"/>
      <c r="H139" s="519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  <c r="AS139" s="533"/>
      <c r="AT139" s="533"/>
      <c r="AU139" s="533"/>
      <c r="AV139" s="533"/>
      <c r="AW139" s="533"/>
      <c r="AX139" s="533"/>
      <c r="AY139" s="533"/>
      <c r="AZ139" s="533"/>
      <c r="BA139" s="533"/>
      <c r="BB139" s="533"/>
      <c r="BC139" s="533"/>
      <c r="BD139" s="533"/>
      <c r="BE139" s="540"/>
      <c r="BF139" s="540"/>
      <c r="BG139" s="533"/>
      <c r="BH139" s="531"/>
      <c r="BI139" s="532"/>
      <c r="BJ139" s="533"/>
      <c r="BK139" s="533"/>
      <c r="BL139" s="533"/>
      <c r="BM139" s="533"/>
    </row>
    <row r="140" spans="4:65" s="518" customFormat="1">
      <c r="D140" s="772"/>
      <c r="E140" s="772"/>
      <c r="F140" s="522"/>
      <c r="G140" s="517"/>
      <c r="H140" s="519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  <c r="AS140" s="533"/>
      <c r="AT140" s="533"/>
      <c r="AU140" s="533"/>
      <c r="AV140" s="533"/>
      <c r="AW140" s="533"/>
      <c r="AX140" s="533"/>
      <c r="AY140" s="533"/>
      <c r="AZ140" s="533"/>
      <c r="BA140" s="533"/>
      <c r="BB140" s="533"/>
      <c r="BC140" s="533"/>
      <c r="BD140" s="533"/>
      <c r="BE140" s="540"/>
      <c r="BF140" s="540"/>
      <c r="BG140" s="533"/>
      <c r="BH140" s="531"/>
      <c r="BI140" s="532"/>
      <c r="BJ140" s="533"/>
      <c r="BK140" s="533"/>
      <c r="BL140" s="533"/>
      <c r="BM140" s="533"/>
    </row>
    <row r="141" spans="4:65" s="518" customFormat="1">
      <c r="D141" s="772"/>
      <c r="E141" s="772"/>
      <c r="F141" s="522"/>
      <c r="G141" s="517"/>
      <c r="H141" s="519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  <c r="AS141" s="533"/>
      <c r="AT141" s="533"/>
      <c r="AU141" s="533"/>
      <c r="AV141" s="533"/>
      <c r="AW141" s="533"/>
      <c r="AX141" s="533"/>
      <c r="AY141" s="533"/>
      <c r="AZ141" s="533"/>
      <c r="BA141" s="533"/>
      <c r="BB141" s="533"/>
      <c r="BC141" s="533"/>
      <c r="BD141" s="533"/>
      <c r="BE141" s="540"/>
      <c r="BF141" s="540"/>
      <c r="BG141" s="533"/>
      <c r="BH141" s="531"/>
      <c r="BI141" s="532"/>
      <c r="BJ141" s="533"/>
      <c r="BK141" s="533"/>
      <c r="BL141" s="533"/>
      <c r="BM141" s="533"/>
    </row>
    <row r="142" spans="4:65" s="518" customFormat="1">
      <c r="D142" s="772"/>
      <c r="E142" s="772"/>
      <c r="F142" s="522"/>
      <c r="G142" s="517"/>
      <c r="H142" s="519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  <c r="AS142" s="533"/>
      <c r="AT142" s="533"/>
      <c r="AU142" s="533"/>
      <c r="AV142" s="533"/>
      <c r="AW142" s="533"/>
      <c r="AX142" s="533"/>
      <c r="AY142" s="533"/>
      <c r="AZ142" s="533"/>
      <c r="BA142" s="533"/>
      <c r="BB142" s="533"/>
      <c r="BC142" s="533"/>
      <c r="BD142" s="533"/>
      <c r="BE142" s="540"/>
      <c r="BF142" s="540"/>
      <c r="BG142" s="533"/>
      <c r="BH142" s="531"/>
      <c r="BI142" s="532"/>
      <c r="BJ142" s="533"/>
      <c r="BK142" s="533"/>
      <c r="BL142" s="533"/>
      <c r="BM142" s="533"/>
    </row>
    <row r="143" spans="4:65" s="518" customFormat="1">
      <c r="D143" s="772"/>
      <c r="E143" s="772"/>
      <c r="F143" s="522"/>
      <c r="G143" s="517"/>
      <c r="H143" s="519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  <c r="AS143" s="533"/>
      <c r="AT143" s="533"/>
      <c r="AU143" s="533"/>
      <c r="AV143" s="533"/>
      <c r="AW143" s="533"/>
      <c r="AX143" s="533"/>
      <c r="AY143" s="533"/>
      <c r="AZ143" s="533"/>
      <c r="BA143" s="533"/>
      <c r="BB143" s="533"/>
      <c r="BC143" s="533"/>
      <c r="BD143" s="533"/>
      <c r="BE143" s="540"/>
      <c r="BF143" s="540"/>
      <c r="BG143" s="533"/>
      <c r="BH143" s="531"/>
      <c r="BI143" s="532"/>
      <c r="BJ143" s="533"/>
      <c r="BK143" s="533"/>
      <c r="BL143" s="533"/>
      <c r="BM143" s="533"/>
    </row>
    <row r="144" spans="4:65" s="518" customFormat="1">
      <c r="D144" s="772"/>
      <c r="E144" s="772"/>
      <c r="F144" s="522"/>
      <c r="G144" s="517"/>
      <c r="H144" s="519"/>
      <c r="I144" s="533"/>
      <c r="J144" s="533"/>
      <c r="K144" s="533"/>
      <c r="L144" s="533"/>
      <c r="M144" s="533"/>
      <c r="N144" s="533"/>
      <c r="O144" s="533"/>
      <c r="P144" s="533"/>
      <c r="Q144" s="533"/>
      <c r="R144" s="533"/>
      <c r="S144" s="533"/>
      <c r="T144" s="533"/>
      <c r="U144" s="533"/>
      <c r="V144" s="533"/>
      <c r="W144" s="533"/>
      <c r="X144" s="533"/>
      <c r="Y144" s="533"/>
      <c r="Z144" s="533"/>
      <c r="AA144" s="533"/>
      <c r="AB144" s="533"/>
      <c r="AC144" s="533"/>
      <c r="AD144" s="533"/>
      <c r="AE144" s="533"/>
      <c r="AF144" s="533"/>
      <c r="AG144" s="533"/>
      <c r="AH144" s="533"/>
      <c r="AI144" s="533"/>
      <c r="AJ144" s="533"/>
      <c r="AK144" s="533"/>
      <c r="AL144" s="533"/>
      <c r="AM144" s="533"/>
      <c r="AN144" s="533"/>
      <c r="AO144" s="533"/>
      <c r="AP144" s="533"/>
      <c r="AQ144" s="533"/>
      <c r="AR144" s="533"/>
      <c r="AS144" s="533"/>
      <c r="AT144" s="533"/>
      <c r="AU144" s="533"/>
      <c r="AV144" s="533"/>
      <c r="AW144" s="533"/>
      <c r="AX144" s="533"/>
      <c r="AY144" s="533"/>
      <c r="AZ144" s="533"/>
      <c r="BA144" s="533"/>
      <c r="BB144" s="533"/>
      <c r="BC144" s="533"/>
      <c r="BD144" s="533"/>
      <c r="BE144" s="540"/>
      <c r="BF144" s="540"/>
      <c r="BG144" s="533"/>
      <c r="BH144" s="531"/>
      <c r="BI144" s="532"/>
      <c r="BJ144" s="533"/>
      <c r="BK144" s="533"/>
      <c r="BL144" s="533"/>
      <c r="BM144" s="533"/>
    </row>
    <row r="145" spans="4:65" s="518" customFormat="1">
      <c r="D145" s="772"/>
      <c r="E145" s="772"/>
      <c r="F145" s="522"/>
      <c r="G145" s="517"/>
      <c r="H145" s="519"/>
      <c r="I145" s="533"/>
      <c r="J145" s="533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533"/>
      <c r="Y145" s="533"/>
      <c r="Z145" s="533"/>
      <c r="AA145" s="533"/>
      <c r="AB145" s="533"/>
      <c r="AC145" s="533"/>
      <c r="AD145" s="533"/>
      <c r="AE145" s="533"/>
      <c r="AF145" s="533"/>
      <c r="AG145" s="533"/>
      <c r="AH145" s="533"/>
      <c r="AI145" s="533"/>
      <c r="AJ145" s="533"/>
      <c r="AK145" s="533"/>
      <c r="AL145" s="533"/>
      <c r="AM145" s="533"/>
      <c r="AN145" s="533"/>
      <c r="AO145" s="533"/>
      <c r="AP145" s="533"/>
      <c r="AQ145" s="533"/>
      <c r="AR145" s="533"/>
      <c r="AS145" s="533"/>
      <c r="AT145" s="533"/>
      <c r="AU145" s="533"/>
      <c r="AV145" s="533"/>
      <c r="AW145" s="533"/>
      <c r="AX145" s="533"/>
      <c r="AY145" s="533"/>
      <c r="AZ145" s="533"/>
      <c r="BA145" s="533"/>
      <c r="BB145" s="533"/>
      <c r="BC145" s="533"/>
      <c r="BD145" s="533"/>
      <c r="BE145" s="540"/>
      <c r="BF145" s="540"/>
      <c r="BG145" s="533"/>
      <c r="BH145" s="531"/>
      <c r="BI145" s="532"/>
      <c r="BJ145" s="533"/>
      <c r="BK145" s="533"/>
      <c r="BL145" s="533"/>
      <c r="BM145" s="533"/>
    </row>
    <row r="146" spans="4:65" s="518" customFormat="1">
      <c r="D146" s="772"/>
      <c r="E146" s="772"/>
      <c r="F146" s="522"/>
      <c r="G146" s="517"/>
      <c r="H146" s="519"/>
      <c r="I146" s="533"/>
      <c r="J146" s="533"/>
      <c r="K146" s="533"/>
      <c r="L146" s="533"/>
      <c r="M146" s="533"/>
      <c r="N146" s="533"/>
      <c r="O146" s="533"/>
      <c r="P146" s="533"/>
      <c r="Q146" s="533"/>
      <c r="R146" s="533"/>
      <c r="S146" s="533"/>
      <c r="T146" s="533"/>
      <c r="U146" s="533"/>
      <c r="V146" s="533"/>
      <c r="W146" s="533"/>
      <c r="X146" s="533"/>
      <c r="Y146" s="533"/>
      <c r="Z146" s="533"/>
      <c r="AA146" s="533"/>
      <c r="AB146" s="533"/>
      <c r="AC146" s="533"/>
      <c r="AD146" s="533"/>
      <c r="AE146" s="533"/>
      <c r="AF146" s="533"/>
      <c r="AG146" s="533"/>
      <c r="AH146" s="533"/>
      <c r="AI146" s="533"/>
      <c r="AJ146" s="533"/>
      <c r="AK146" s="533"/>
      <c r="AL146" s="533"/>
      <c r="AM146" s="533"/>
      <c r="AN146" s="533"/>
      <c r="AO146" s="533"/>
      <c r="AP146" s="533"/>
      <c r="AQ146" s="533"/>
      <c r="AR146" s="533"/>
      <c r="AS146" s="533"/>
      <c r="AT146" s="533"/>
      <c r="AU146" s="533"/>
      <c r="AV146" s="533"/>
      <c r="AW146" s="533"/>
      <c r="AX146" s="533"/>
      <c r="AY146" s="533"/>
      <c r="AZ146" s="533"/>
      <c r="BA146" s="533"/>
      <c r="BB146" s="533"/>
      <c r="BC146" s="533"/>
      <c r="BD146" s="533"/>
      <c r="BE146" s="540"/>
      <c r="BF146" s="540"/>
      <c r="BG146" s="533"/>
      <c r="BH146" s="531"/>
      <c r="BI146" s="532"/>
      <c r="BJ146" s="533"/>
      <c r="BK146" s="533"/>
      <c r="BL146" s="533"/>
      <c r="BM146" s="533"/>
    </row>
    <row r="147" spans="4:65" s="518" customFormat="1">
      <c r="D147" s="772"/>
      <c r="E147" s="772"/>
      <c r="F147" s="522"/>
      <c r="G147" s="517"/>
      <c r="H147" s="519"/>
      <c r="I147" s="533"/>
      <c r="J147" s="533"/>
      <c r="K147" s="533"/>
      <c r="L147" s="533"/>
      <c r="M147" s="533"/>
      <c r="N147" s="533"/>
      <c r="O147" s="533"/>
      <c r="P147" s="533"/>
      <c r="Q147" s="533"/>
      <c r="R147" s="533"/>
      <c r="S147" s="533"/>
      <c r="T147" s="533"/>
      <c r="U147" s="533"/>
      <c r="V147" s="533"/>
      <c r="W147" s="533"/>
      <c r="X147" s="533"/>
      <c r="Y147" s="533"/>
      <c r="Z147" s="533"/>
      <c r="AA147" s="533"/>
      <c r="AB147" s="533"/>
      <c r="AC147" s="533"/>
      <c r="AD147" s="533"/>
      <c r="AE147" s="533"/>
      <c r="AF147" s="533"/>
      <c r="AG147" s="533"/>
      <c r="AH147" s="533"/>
      <c r="AI147" s="533"/>
      <c r="AJ147" s="533"/>
      <c r="AK147" s="533"/>
      <c r="AL147" s="533"/>
      <c r="AM147" s="533"/>
      <c r="AN147" s="533"/>
      <c r="AO147" s="533"/>
      <c r="AP147" s="533"/>
      <c r="AQ147" s="533"/>
      <c r="AR147" s="533"/>
      <c r="AS147" s="533"/>
      <c r="AT147" s="533"/>
      <c r="AU147" s="533"/>
      <c r="AV147" s="533"/>
      <c r="AW147" s="533"/>
      <c r="AX147" s="533"/>
      <c r="AY147" s="533"/>
      <c r="AZ147" s="533"/>
      <c r="BA147" s="533"/>
      <c r="BB147" s="533"/>
      <c r="BC147" s="533"/>
      <c r="BD147" s="533"/>
      <c r="BE147" s="540"/>
      <c r="BF147" s="540"/>
      <c r="BG147" s="533"/>
      <c r="BH147" s="531"/>
      <c r="BI147" s="532"/>
      <c r="BJ147" s="533"/>
      <c r="BK147" s="533"/>
      <c r="BL147" s="533"/>
      <c r="BM147" s="533"/>
    </row>
    <row r="148" spans="4:65" s="518" customFormat="1">
      <c r="D148" s="772"/>
      <c r="E148" s="772"/>
      <c r="F148" s="522"/>
      <c r="G148" s="517"/>
      <c r="H148" s="519"/>
      <c r="I148" s="533"/>
      <c r="J148" s="533"/>
      <c r="K148" s="533"/>
      <c r="L148" s="533"/>
      <c r="M148" s="533"/>
      <c r="N148" s="533"/>
      <c r="O148" s="533"/>
      <c r="P148" s="533"/>
      <c r="Q148" s="533"/>
      <c r="R148" s="533"/>
      <c r="S148" s="533"/>
      <c r="T148" s="533"/>
      <c r="U148" s="533"/>
      <c r="V148" s="533"/>
      <c r="W148" s="533"/>
      <c r="X148" s="533"/>
      <c r="Y148" s="533"/>
      <c r="Z148" s="533"/>
      <c r="AA148" s="533"/>
      <c r="AB148" s="533"/>
      <c r="AC148" s="533"/>
      <c r="AD148" s="533"/>
      <c r="AE148" s="533"/>
      <c r="AF148" s="533"/>
      <c r="AG148" s="533"/>
      <c r="AH148" s="533"/>
      <c r="AI148" s="533"/>
      <c r="AJ148" s="533"/>
      <c r="AK148" s="533"/>
      <c r="AL148" s="533"/>
      <c r="AM148" s="533"/>
      <c r="AN148" s="533"/>
      <c r="AO148" s="533"/>
      <c r="AP148" s="533"/>
      <c r="AQ148" s="533"/>
      <c r="AR148" s="533"/>
      <c r="AS148" s="533"/>
      <c r="AT148" s="533"/>
      <c r="AU148" s="533"/>
      <c r="AV148" s="533"/>
      <c r="AW148" s="533"/>
      <c r="AX148" s="533"/>
      <c r="AY148" s="533"/>
      <c r="AZ148" s="533"/>
      <c r="BA148" s="533"/>
      <c r="BB148" s="533"/>
      <c r="BC148" s="533"/>
      <c r="BD148" s="533"/>
      <c r="BE148" s="540"/>
      <c r="BF148" s="540"/>
      <c r="BG148" s="533"/>
      <c r="BH148" s="531"/>
      <c r="BI148" s="532"/>
      <c r="BJ148" s="533"/>
      <c r="BK148" s="533"/>
      <c r="BL148" s="533"/>
      <c r="BM148" s="533"/>
    </row>
    <row r="149" spans="4:65" s="518" customFormat="1">
      <c r="D149" s="772"/>
      <c r="E149" s="772"/>
      <c r="F149" s="522"/>
      <c r="G149" s="517"/>
      <c r="H149" s="519"/>
      <c r="I149" s="533"/>
      <c r="J149" s="533"/>
      <c r="K149" s="533"/>
      <c r="L149" s="533"/>
      <c r="M149" s="533"/>
      <c r="N149" s="533"/>
      <c r="O149" s="533"/>
      <c r="P149" s="533"/>
      <c r="Q149" s="533"/>
      <c r="R149" s="533"/>
      <c r="S149" s="533"/>
      <c r="T149" s="533"/>
      <c r="U149" s="533"/>
      <c r="V149" s="533"/>
      <c r="W149" s="533"/>
      <c r="X149" s="533"/>
      <c r="Y149" s="533"/>
      <c r="Z149" s="533"/>
      <c r="AA149" s="533"/>
      <c r="AB149" s="533"/>
      <c r="AC149" s="533"/>
      <c r="AD149" s="533"/>
      <c r="AE149" s="533"/>
      <c r="AF149" s="533"/>
      <c r="AG149" s="533"/>
      <c r="AH149" s="533"/>
      <c r="AI149" s="533"/>
      <c r="AJ149" s="533"/>
      <c r="AK149" s="533"/>
      <c r="AL149" s="533"/>
      <c r="AM149" s="533"/>
      <c r="AN149" s="533"/>
      <c r="AO149" s="533"/>
      <c r="AP149" s="533"/>
      <c r="AQ149" s="533"/>
      <c r="AR149" s="533"/>
      <c r="AS149" s="533"/>
      <c r="AT149" s="533"/>
      <c r="AU149" s="533"/>
      <c r="AV149" s="533"/>
      <c r="AW149" s="533"/>
      <c r="AX149" s="533"/>
      <c r="AY149" s="533"/>
      <c r="AZ149" s="533"/>
      <c r="BA149" s="533"/>
      <c r="BB149" s="533"/>
      <c r="BC149" s="533"/>
      <c r="BD149" s="533"/>
      <c r="BE149" s="540"/>
      <c r="BF149" s="540"/>
      <c r="BG149" s="533"/>
      <c r="BH149" s="531"/>
      <c r="BI149" s="532"/>
      <c r="BJ149" s="533"/>
      <c r="BK149" s="533"/>
      <c r="BL149" s="533"/>
      <c r="BM149" s="533"/>
    </row>
    <row r="150" spans="4:65" s="518" customFormat="1">
      <c r="D150" s="772"/>
      <c r="E150" s="772"/>
      <c r="F150" s="522"/>
      <c r="G150" s="517"/>
      <c r="H150" s="519"/>
      <c r="I150" s="533"/>
      <c r="J150" s="533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  <c r="U150" s="533"/>
      <c r="V150" s="533"/>
      <c r="W150" s="533"/>
      <c r="X150" s="533"/>
      <c r="Y150" s="533"/>
      <c r="Z150" s="533"/>
      <c r="AA150" s="533"/>
      <c r="AB150" s="533"/>
      <c r="AC150" s="533"/>
      <c r="AD150" s="533"/>
      <c r="AE150" s="533"/>
      <c r="AF150" s="533"/>
      <c r="AG150" s="533"/>
      <c r="AH150" s="533"/>
      <c r="AI150" s="533"/>
      <c r="AJ150" s="533"/>
      <c r="AK150" s="533"/>
      <c r="AL150" s="533"/>
      <c r="AM150" s="533"/>
      <c r="AN150" s="533"/>
      <c r="AO150" s="533"/>
      <c r="AP150" s="533"/>
      <c r="AQ150" s="533"/>
      <c r="AR150" s="533"/>
      <c r="AS150" s="533"/>
      <c r="AT150" s="533"/>
      <c r="AU150" s="533"/>
      <c r="AV150" s="533"/>
      <c r="AW150" s="533"/>
      <c r="AX150" s="533"/>
      <c r="AY150" s="533"/>
      <c r="AZ150" s="533"/>
      <c r="BA150" s="533"/>
      <c r="BB150" s="533"/>
      <c r="BC150" s="533"/>
      <c r="BD150" s="533"/>
      <c r="BE150" s="540"/>
      <c r="BF150" s="540"/>
      <c r="BG150" s="533"/>
      <c r="BH150" s="531"/>
      <c r="BI150" s="532"/>
      <c r="BJ150" s="533"/>
      <c r="BK150" s="533"/>
      <c r="BL150" s="533"/>
      <c r="BM150" s="533"/>
    </row>
    <row r="151" spans="4:65" s="518" customFormat="1">
      <c r="D151" s="772"/>
      <c r="E151" s="772"/>
      <c r="F151" s="522"/>
      <c r="G151" s="517"/>
      <c r="H151" s="519"/>
      <c r="I151" s="533"/>
      <c r="J151" s="533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  <c r="U151" s="533"/>
      <c r="V151" s="533"/>
      <c r="W151" s="533"/>
      <c r="X151" s="533"/>
      <c r="Y151" s="533"/>
      <c r="Z151" s="533"/>
      <c r="AA151" s="533"/>
      <c r="AB151" s="533"/>
      <c r="AC151" s="533"/>
      <c r="AD151" s="533"/>
      <c r="AE151" s="533"/>
      <c r="AF151" s="533"/>
      <c r="AG151" s="533"/>
      <c r="AH151" s="533"/>
      <c r="AI151" s="533"/>
      <c r="AJ151" s="533"/>
      <c r="AK151" s="533"/>
      <c r="AL151" s="533"/>
      <c r="AM151" s="533"/>
      <c r="AN151" s="533"/>
      <c r="AO151" s="533"/>
      <c r="AP151" s="533"/>
      <c r="AQ151" s="533"/>
      <c r="AR151" s="533"/>
      <c r="AS151" s="533"/>
      <c r="AT151" s="533"/>
      <c r="AU151" s="533"/>
      <c r="AV151" s="533"/>
      <c r="AW151" s="533"/>
      <c r="AX151" s="533"/>
      <c r="AY151" s="533"/>
      <c r="AZ151" s="533"/>
      <c r="BA151" s="533"/>
      <c r="BB151" s="533"/>
      <c r="BC151" s="533"/>
      <c r="BD151" s="533"/>
      <c r="BE151" s="540"/>
      <c r="BF151" s="540"/>
      <c r="BG151" s="533"/>
      <c r="BH151" s="531"/>
      <c r="BI151" s="532"/>
      <c r="BJ151" s="533"/>
      <c r="BK151" s="533"/>
      <c r="BL151" s="533"/>
      <c r="BM151" s="533"/>
    </row>
    <row r="152" spans="4:65" s="518" customFormat="1">
      <c r="D152" s="772"/>
      <c r="E152" s="772"/>
      <c r="F152" s="522"/>
      <c r="G152" s="517"/>
      <c r="H152" s="519"/>
      <c r="I152" s="533"/>
      <c r="J152" s="533"/>
      <c r="K152" s="533"/>
      <c r="L152" s="533"/>
      <c r="M152" s="533"/>
      <c r="N152" s="533"/>
      <c r="O152" s="533"/>
      <c r="P152" s="533"/>
      <c r="Q152" s="533"/>
      <c r="R152" s="533"/>
      <c r="S152" s="533"/>
      <c r="T152" s="533"/>
      <c r="U152" s="533"/>
      <c r="V152" s="533"/>
      <c r="W152" s="533"/>
      <c r="X152" s="533"/>
      <c r="Y152" s="533"/>
      <c r="Z152" s="533"/>
      <c r="AA152" s="533"/>
      <c r="AB152" s="533"/>
      <c r="AC152" s="533"/>
      <c r="AD152" s="533"/>
      <c r="AE152" s="533"/>
      <c r="AF152" s="533"/>
      <c r="AG152" s="533"/>
      <c r="AH152" s="533"/>
      <c r="AI152" s="533"/>
      <c r="AJ152" s="533"/>
      <c r="AK152" s="533"/>
      <c r="AL152" s="533"/>
      <c r="AM152" s="533"/>
      <c r="AN152" s="533"/>
      <c r="AO152" s="533"/>
      <c r="AP152" s="533"/>
      <c r="AQ152" s="533"/>
      <c r="AR152" s="533"/>
      <c r="AS152" s="533"/>
      <c r="AT152" s="533"/>
      <c r="AU152" s="533"/>
      <c r="AV152" s="533"/>
      <c r="AW152" s="533"/>
      <c r="AX152" s="533"/>
      <c r="AY152" s="533"/>
      <c r="AZ152" s="533"/>
      <c r="BA152" s="533"/>
      <c r="BB152" s="533"/>
      <c r="BC152" s="533"/>
      <c r="BD152" s="533"/>
      <c r="BE152" s="540"/>
      <c r="BF152" s="540"/>
      <c r="BG152" s="533"/>
      <c r="BH152" s="531"/>
      <c r="BI152" s="532"/>
      <c r="BJ152" s="533"/>
      <c r="BK152" s="533"/>
      <c r="BL152" s="533"/>
      <c r="BM152" s="533"/>
    </row>
    <row r="153" spans="4:65" s="518" customFormat="1">
      <c r="D153" s="772"/>
      <c r="E153" s="772"/>
      <c r="F153" s="522"/>
      <c r="G153" s="517"/>
      <c r="H153" s="519"/>
      <c r="I153" s="533"/>
      <c r="J153" s="533"/>
      <c r="K153" s="533"/>
      <c r="L153" s="533"/>
      <c r="M153" s="533"/>
      <c r="N153" s="533"/>
      <c r="O153" s="533"/>
      <c r="P153" s="533"/>
      <c r="Q153" s="533"/>
      <c r="R153" s="533"/>
      <c r="S153" s="533"/>
      <c r="T153" s="533"/>
      <c r="U153" s="533"/>
      <c r="V153" s="533"/>
      <c r="W153" s="533"/>
      <c r="X153" s="533"/>
      <c r="Y153" s="533"/>
      <c r="Z153" s="533"/>
      <c r="AA153" s="533"/>
      <c r="AB153" s="533"/>
      <c r="AC153" s="533"/>
      <c r="AD153" s="533"/>
      <c r="AE153" s="533"/>
      <c r="AF153" s="533"/>
      <c r="AG153" s="533"/>
      <c r="AH153" s="533"/>
      <c r="AI153" s="533"/>
      <c r="AJ153" s="533"/>
      <c r="AK153" s="533"/>
      <c r="AL153" s="533"/>
      <c r="AM153" s="533"/>
      <c r="AN153" s="533"/>
      <c r="AO153" s="533"/>
      <c r="AP153" s="533"/>
      <c r="AQ153" s="533"/>
      <c r="AR153" s="533"/>
      <c r="AS153" s="533"/>
      <c r="AT153" s="533"/>
      <c r="AU153" s="533"/>
      <c r="AV153" s="533"/>
      <c r="AW153" s="533"/>
      <c r="AX153" s="533"/>
      <c r="AY153" s="533"/>
      <c r="AZ153" s="533"/>
      <c r="BA153" s="533"/>
      <c r="BB153" s="533"/>
      <c r="BC153" s="533"/>
      <c r="BD153" s="533"/>
      <c r="BE153" s="540"/>
      <c r="BF153" s="540"/>
      <c r="BG153" s="533"/>
      <c r="BH153" s="531"/>
      <c r="BI153" s="532"/>
      <c r="BJ153" s="533"/>
      <c r="BK153" s="533"/>
      <c r="BL153" s="533"/>
      <c r="BM153" s="533"/>
    </row>
    <row r="154" spans="4:65" s="518" customFormat="1">
      <c r="D154" s="772"/>
      <c r="E154" s="772"/>
      <c r="F154" s="522"/>
      <c r="G154" s="517"/>
      <c r="H154" s="519"/>
      <c r="I154" s="533"/>
      <c r="J154" s="533"/>
      <c r="K154" s="533"/>
      <c r="L154" s="533"/>
      <c r="M154" s="533"/>
      <c r="N154" s="533"/>
      <c r="O154" s="533"/>
      <c r="P154" s="533"/>
      <c r="Q154" s="533"/>
      <c r="R154" s="533"/>
      <c r="S154" s="533"/>
      <c r="T154" s="533"/>
      <c r="U154" s="533"/>
      <c r="V154" s="533"/>
      <c r="W154" s="533"/>
      <c r="X154" s="533"/>
      <c r="Y154" s="533"/>
      <c r="Z154" s="533"/>
      <c r="AA154" s="533"/>
      <c r="AB154" s="533"/>
      <c r="AC154" s="533"/>
      <c r="AD154" s="533"/>
      <c r="AE154" s="533"/>
      <c r="AF154" s="533"/>
      <c r="AG154" s="533"/>
      <c r="AH154" s="533"/>
      <c r="AI154" s="533"/>
      <c r="AJ154" s="533"/>
      <c r="AK154" s="533"/>
      <c r="AL154" s="533"/>
      <c r="AM154" s="533"/>
      <c r="AN154" s="533"/>
      <c r="AO154" s="533"/>
      <c r="AP154" s="533"/>
      <c r="AQ154" s="533"/>
      <c r="AR154" s="533"/>
      <c r="AS154" s="533"/>
      <c r="AT154" s="533"/>
      <c r="AU154" s="533"/>
      <c r="AV154" s="533"/>
      <c r="AW154" s="533"/>
      <c r="AX154" s="533"/>
      <c r="AY154" s="533"/>
      <c r="AZ154" s="533"/>
      <c r="BA154" s="533"/>
      <c r="BB154" s="533"/>
      <c r="BC154" s="533"/>
      <c r="BD154" s="533"/>
      <c r="BE154" s="540"/>
      <c r="BF154" s="540"/>
      <c r="BG154" s="533"/>
      <c r="BH154" s="531"/>
      <c r="BI154" s="532"/>
      <c r="BJ154" s="533"/>
      <c r="BK154" s="533"/>
      <c r="BL154" s="533"/>
      <c r="BM154" s="533"/>
    </row>
    <row r="155" spans="4:65" s="518" customFormat="1">
      <c r="D155" s="772"/>
      <c r="E155" s="772"/>
      <c r="F155" s="522"/>
      <c r="G155" s="517"/>
      <c r="H155" s="519"/>
      <c r="I155" s="533"/>
      <c r="J155" s="533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  <c r="U155" s="533"/>
      <c r="V155" s="533"/>
      <c r="W155" s="533"/>
      <c r="X155" s="533"/>
      <c r="Y155" s="533"/>
      <c r="Z155" s="533"/>
      <c r="AA155" s="533"/>
      <c r="AB155" s="533"/>
      <c r="AC155" s="533"/>
      <c r="AD155" s="533"/>
      <c r="AE155" s="533"/>
      <c r="AF155" s="533"/>
      <c r="AG155" s="533"/>
      <c r="AH155" s="533"/>
      <c r="AI155" s="533"/>
      <c r="AJ155" s="533"/>
      <c r="AK155" s="533"/>
      <c r="AL155" s="533"/>
      <c r="AM155" s="533"/>
      <c r="AN155" s="533"/>
      <c r="AO155" s="533"/>
      <c r="AP155" s="533"/>
      <c r="AQ155" s="533"/>
      <c r="AR155" s="533"/>
      <c r="AS155" s="533"/>
      <c r="AT155" s="533"/>
      <c r="AU155" s="533"/>
      <c r="AV155" s="533"/>
      <c r="AW155" s="533"/>
      <c r="AX155" s="533"/>
      <c r="AY155" s="533"/>
      <c r="AZ155" s="533"/>
      <c r="BA155" s="533"/>
      <c r="BB155" s="533"/>
      <c r="BC155" s="533"/>
      <c r="BD155" s="533"/>
      <c r="BE155" s="540"/>
      <c r="BF155" s="540"/>
      <c r="BG155" s="533"/>
      <c r="BH155" s="531"/>
      <c r="BI155" s="532"/>
      <c r="BJ155" s="533"/>
      <c r="BK155" s="533"/>
      <c r="BL155" s="533"/>
      <c r="BM155" s="533"/>
    </row>
    <row r="156" spans="4:65" s="518" customFormat="1">
      <c r="D156" s="772"/>
      <c r="E156" s="772"/>
      <c r="F156" s="522"/>
      <c r="G156" s="517"/>
      <c r="H156" s="519"/>
      <c r="I156" s="533"/>
      <c r="J156" s="533"/>
      <c r="K156" s="533"/>
      <c r="L156" s="533"/>
      <c r="M156" s="533"/>
      <c r="N156" s="533"/>
      <c r="O156" s="533"/>
      <c r="P156" s="533"/>
      <c r="Q156" s="533"/>
      <c r="R156" s="533"/>
      <c r="S156" s="533"/>
      <c r="T156" s="533"/>
      <c r="U156" s="533"/>
      <c r="V156" s="533"/>
      <c r="W156" s="533"/>
      <c r="X156" s="533"/>
      <c r="Y156" s="533"/>
      <c r="Z156" s="533"/>
      <c r="AA156" s="533"/>
      <c r="AB156" s="533"/>
      <c r="AC156" s="533"/>
      <c r="AD156" s="533"/>
      <c r="AE156" s="533"/>
      <c r="AF156" s="533"/>
      <c r="AG156" s="533"/>
      <c r="AH156" s="533"/>
      <c r="AI156" s="533"/>
      <c r="AJ156" s="533"/>
      <c r="AK156" s="533"/>
      <c r="AL156" s="533"/>
      <c r="AM156" s="533"/>
      <c r="AN156" s="533"/>
      <c r="AO156" s="533"/>
      <c r="AP156" s="533"/>
      <c r="AQ156" s="533"/>
      <c r="AR156" s="533"/>
      <c r="AS156" s="533"/>
      <c r="AT156" s="533"/>
      <c r="AU156" s="533"/>
      <c r="AV156" s="533"/>
      <c r="AW156" s="533"/>
      <c r="AX156" s="533"/>
      <c r="AY156" s="533"/>
      <c r="AZ156" s="533"/>
      <c r="BA156" s="533"/>
      <c r="BB156" s="533"/>
      <c r="BC156" s="533"/>
      <c r="BD156" s="533"/>
      <c r="BE156" s="540"/>
      <c r="BF156" s="540"/>
      <c r="BG156" s="533"/>
      <c r="BH156" s="531"/>
      <c r="BI156" s="532"/>
      <c r="BJ156" s="533"/>
      <c r="BK156" s="533"/>
      <c r="BL156" s="533"/>
      <c r="BM156" s="533"/>
    </row>
    <row r="157" spans="4:65" s="518" customFormat="1">
      <c r="D157" s="772"/>
      <c r="E157" s="772"/>
      <c r="F157" s="522"/>
      <c r="G157" s="517"/>
      <c r="H157" s="519"/>
      <c r="I157" s="533"/>
      <c r="J157" s="533"/>
      <c r="K157" s="533"/>
      <c r="L157" s="533"/>
      <c r="M157" s="533"/>
      <c r="N157" s="533"/>
      <c r="O157" s="533"/>
      <c r="P157" s="533"/>
      <c r="Q157" s="533"/>
      <c r="R157" s="533"/>
      <c r="S157" s="533"/>
      <c r="T157" s="533"/>
      <c r="U157" s="533"/>
      <c r="V157" s="533"/>
      <c r="W157" s="533"/>
      <c r="X157" s="533"/>
      <c r="Y157" s="533"/>
      <c r="Z157" s="533"/>
      <c r="AA157" s="533"/>
      <c r="AB157" s="533"/>
      <c r="AC157" s="533"/>
      <c r="AD157" s="533"/>
      <c r="AE157" s="533"/>
      <c r="AF157" s="533"/>
      <c r="AG157" s="533"/>
      <c r="AH157" s="533"/>
      <c r="AI157" s="533"/>
      <c r="AJ157" s="533"/>
      <c r="AK157" s="533"/>
      <c r="AL157" s="533"/>
      <c r="AM157" s="533"/>
      <c r="AN157" s="533"/>
      <c r="AO157" s="533"/>
      <c r="AP157" s="533"/>
      <c r="AQ157" s="533"/>
      <c r="AR157" s="533"/>
      <c r="AS157" s="533"/>
      <c r="AT157" s="533"/>
      <c r="AU157" s="533"/>
      <c r="AV157" s="533"/>
      <c r="AW157" s="533"/>
      <c r="AX157" s="533"/>
      <c r="AY157" s="533"/>
      <c r="AZ157" s="533"/>
      <c r="BA157" s="533"/>
      <c r="BB157" s="533"/>
      <c r="BC157" s="533"/>
      <c r="BD157" s="533"/>
      <c r="BE157" s="540"/>
      <c r="BF157" s="540"/>
      <c r="BG157" s="533"/>
      <c r="BH157" s="531"/>
      <c r="BI157" s="532"/>
      <c r="BJ157" s="533"/>
      <c r="BK157" s="533"/>
      <c r="BL157" s="533"/>
      <c r="BM157" s="533"/>
    </row>
    <row r="158" spans="4:65" s="518" customFormat="1">
      <c r="D158" s="772"/>
      <c r="E158" s="772"/>
      <c r="F158" s="522"/>
      <c r="G158" s="517"/>
      <c r="H158" s="519"/>
      <c r="I158" s="533"/>
      <c r="J158" s="533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  <c r="U158" s="533"/>
      <c r="V158" s="533"/>
      <c r="W158" s="533"/>
      <c r="X158" s="533"/>
      <c r="Y158" s="533"/>
      <c r="Z158" s="533"/>
      <c r="AA158" s="533"/>
      <c r="AB158" s="533"/>
      <c r="AC158" s="533"/>
      <c r="AD158" s="533"/>
      <c r="AE158" s="533"/>
      <c r="AF158" s="533"/>
      <c r="AG158" s="533"/>
      <c r="AH158" s="533"/>
      <c r="AI158" s="533"/>
      <c r="AJ158" s="533"/>
      <c r="AK158" s="533"/>
      <c r="AL158" s="533"/>
      <c r="AM158" s="533"/>
      <c r="AN158" s="533"/>
      <c r="AO158" s="533"/>
      <c r="AP158" s="533"/>
      <c r="AQ158" s="533"/>
      <c r="AR158" s="533"/>
      <c r="AS158" s="533"/>
      <c r="AT158" s="533"/>
      <c r="AU158" s="533"/>
      <c r="AV158" s="533"/>
      <c r="AW158" s="533"/>
      <c r="AX158" s="533"/>
      <c r="AY158" s="533"/>
      <c r="AZ158" s="533"/>
      <c r="BA158" s="533"/>
      <c r="BB158" s="533"/>
      <c r="BC158" s="533"/>
      <c r="BD158" s="533"/>
      <c r="BE158" s="540"/>
      <c r="BF158" s="540"/>
      <c r="BG158" s="533"/>
      <c r="BH158" s="531"/>
      <c r="BI158" s="532"/>
      <c r="BJ158" s="533"/>
      <c r="BK158" s="533"/>
      <c r="BL158" s="533"/>
      <c r="BM158" s="533"/>
    </row>
    <row r="159" spans="4:65" s="518" customFormat="1">
      <c r="D159" s="772"/>
      <c r="E159" s="772"/>
      <c r="F159" s="522"/>
      <c r="G159" s="517"/>
      <c r="H159" s="519"/>
      <c r="I159" s="533"/>
      <c r="J159" s="533"/>
      <c r="K159" s="533"/>
      <c r="L159" s="533"/>
      <c r="M159" s="533"/>
      <c r="N159" s="533"/>
      <c r="O159" s="533"/>
      <c r="P159" s="533"/>
      <c r="Q159" s="533"/>
      <c r="R159" s="533"/>
      <c r="S159" s="533"/>
      <c r="T159" s="533"/>
      <c r="U159" s="533"/>
      <c r="V159" s="533"/>
      <c r="W159" s="533"/>
      <c r="X159" s="533"/>
      <c r="Y159" s="533"/>
      <c r="Z159" s="533"/>
      <c r="AA159" s="533"/>
      <c r="AB159" s="533"/>
      <c r="AC159" s="533"/>
      <c r="AD159" s="533"/>
      <c r="AE159" s="533"/>
      <c r="AF159" s="533"/>
      <c r="AG159" s="533"/>
      <c r="AH159" s="533"/>
      <c r="AI159" s="533"/>
      <c r="AJ159" s="533"/>
      <c r="AK159" s="533"/>
      <c r="AL159" s="533"/>
      <c r="AM159" s="533"/>
      <c r="AN159" s="533"/>
      <c r="AO159" s="533"/>
      <c r="AP159" s="533"/>
      <c r="AQ159" s="533"/>
      <c r="AR159" s="533"/>
      <c r="AS159" s="533"/>
      <c r="AT159" s="533"/>
      <c r="AU159" s="533"/>
      <c r="AV159" s="533"/>
      <c r="AW159" s="533"/>
      <c r="AX159" s="533"/>
      <c r="AY159" s="533"/>
      <c r="AZ159" s="533"/>
      <c r="BA159" s="533"/>
      <c r="BB159" s="533"/>
      <c r="BC159" s="533"/>
      <c r="BD159" s="533"/>
      <c r="BE159" s="540"/>
      <c r="BF159" s="540"/>
      <c r="BG159" s="533"/>
      <c r="BH159" s="531"/>
      <c r="BI159" s="532"/>
      <c r="BJ159" s="533"/>
      <c r="BK159" s="533"/>
      <c r="BL159" s="533"/>
      <c r="BM159" s="533"/>
    </row>
    <row r="160" spans="4:65" s="518" customFormat="1">
      <c r="D160" s="772"/>
      <c r="E160" s="772"/>
      <c r="F160" s="522"/>
      <c r="G160" s="517"/>
      <c r="H160" s="519"/>
      <c r="I160" s="533"/>
      <c r="J160" s="533"/>
      <c r="K160" s="533"/>
      <c r="L160" s="533"/>
      <c r="M160" s="533"/>
      <c r="N160" s="533"/>
      <c r="O160" s="533"/>
      <c r="P160" s="533"/>
      <c r="Q160" s="533"/>
      <c r="R160" s="533"/>
      <c r="S160" s="533"/>
      <c r="T160" s="533"/>
      <c r="U160" s="533"/>
      <c r="V160" s="533"/>
      <c r="W160" s="533"/>
      <c r="X160" s="533"/>
      <c r="Y160" s="533"/>
      <c r="Z160" s="533"/>
      <c r="AA160" s="533"/>
      <c r="AB160" s="533"/>
      <c r="AC160" s="533"/>
      <c r="AD160" s="533"/>
      <c r="AE160" s="533"/>
      <c r="AF160" s="533"/>
      <c r="AG160" s="533"/>
      <c r="AH160" s="533"/>
      <c r="AI160" s="533"/>
      <c r="AJ160" s="533"/>
      <c r="AK160" s="533"/>
      <c r="AL160" s="533"/>
      <c r="AM160" s="533"/>
      <c r="AN160" s="533"/>
      <c r="AO160" s="533"/>
      <c r="AP160" s="533"/>
      <c r="AQ160" s="533"/>
      <c r="AR160" s="533"/>
      <c r="AS160" s="533"/>
      <c r="AT160" s="533"/>
      <c r="AU160" s="533"/>
      <c r="AV160" s="533"/>
      <c r="AW160" s="533"/>
      <c r="AX160" s="533"/>
      <c r="AY160" s="533"/>
      <c r="AZ160" s="533"/>
      <c r="BA160" s="533"/>
      <c r="BB160" s="533"/>
      <c r="BC160" s="533"/>
      <c r="BD160" s="533"/>
      <c r="BE160" s="540"/>
      <c r="BF160" s="540"/>
      <c r="BG160" s="533"/>
      <c r="BH160" s="531"/>
      <c r="BI160" s="532"/>
      <c r="BJ160" s="533"/>
      <c r="BK160" s="533"/>
      <c r="BL160" s="533"/>
      <c r="BM160" s="533"/>
    </row>
    <row r="161" spans="4:65" s="518" customFormat="1">
      <c r="D161" s="772"/>
      <c r="E161" s="772"/>
      <c r="F161" s="522"/>
      <c r="G161" s="517"/>
      <c r="H161" s="519"/>
      <c r="I161" s="533"/>
      <c r="J161" s="533"/>
      <c r="K161" s="533"/>
      <c r="L161" s="533"/>
      <c r="M161" s="533"/>
      <c r="N161" s="533"/>
      <c r="O161" s="533"/>
      <c r="P161" s="533"/>
      <c r="Q161" s="533"/>
      <c r="R161" s="533"/>
      <c r="S161" s="533"/>
      <c r="T161" s="533"/>
      <c r="U161" s="533"/>
      <c r="V161" s="533"/>
      <c r="W161" s="533"/>
      <c r="X161" s="533"/>
      <c r="Y161" s="533"/>
      <c r="Z161" s="533"/>
      <c r="AA161" s="533"/>
      <c r="AB161" s="533"/>
      <c r="AC161" s="533"/>
      <c r="AD161" s="533"/>
      <c r="AE161" s="533"/>
      <c r="AF161" s="533"/>
      <c r="AG161" s="533"/>
      <c r="AH161" s="533"/>
      <c r="AI161" s="533"/>
      <c r="AJ161" s="533"/>
      <c r="AK161" s="533"/>
      <c r="AL161" s="533"/>
      <c r="AM161" s="533"/>
      <c r="AN161" s="533"/>
      <c r="AO161" s="533"/>
      <c r="AP161" s="533"/>
      <c r="AQ161" s="533"/>
      <c r="AR161" s="533"/>
      <c r="AS161" s="533"/>
      <c r="AT161" s="533"/>
      <c r="AU161" s="533"/>
      <c r="AV161" s="533"/>
      <c r="AW161" s="533"/>
      <c r="AX161" s="533"/>
      <c r="AY161" s="533"/>
      <c r="AZ161" s="533"/>
      <c r="BA161" s="533"/>
      <c r="BB161" s="533"/>
      <c r="BC161" s="533"/>
      <c r="BD161" s="533"/>
      <c r="BE161" s="540"/>
      <c r="BF161" s="540"/>
      <c r="BG161" s="533"/>
      <c r="BH161" s="531"/>
      <c r="BI161" s="532"/>
      <c r="BJ161" s="533"/>
      <c r="BK161" s="533"/>
      <c r="BL161" s="533"/>
      <c r="BM161" s="533"/>
    </row>
    <row r="162" spans="4:65" s="518" customFormat="1">
      <c r="D162" s="772"/>
      <c r="E162" s="772"/>
      <c r="F162" s="522"/>
      <c r="G162" s="517"/>
      <c r="H162" s="519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33"/>
      <c r="Z162" s="533"/>
      <c r="AA162" s="533"/>
      <c r="AB162" s="533"/>
      <c r="AC162" s="533"/>
      <c r="AD162" s="533"/>
      <c r="AE162" s="533"/>
      <c r="AF162" s="533"/>
      <c r="AG162" s="533"/>
      <c r="AH162" s="533"/>
      <c r="AI162" s="533"/>
      <c r="AJ162" s="533"/>
      <c r="AK162" s="533"/>
      <c r="AL162" s="533"/>
      <c r="AM162" s="533"/>
      <c r="AN162" s="533"/>
      <c r="AO162" s="533"/>
      <c r="AP162" s="533"/>
      <c r="AQ162" s="533"/>
      <c r="AR162" s="533"/>
      <c r="AS162" s="533"/>
      <c r="AT162" s="533"/>
      <c r="AU162" s="533"/>
      <c r="AV162" s="533"/>
      <c r="AW162" s="533"/>
      <c r="AX162" s="533"/>
      <c r="AY162" s="533"/>
      <c r="AZ162" s="533"/>
      <c r="BA162" s="533"/>
      <c r="BB162" s="533"/>
      <c r="BC162" s="533"/>
      <c r="BD162" s="533"/>
      <c r="BE162" s="540"/>
      <c r="BF162" s="540"/>
      <c r="BG162" s="533"/>
      <c r="BH162" s="531"/>
      <c r="BI162" s="532"/>
      <c r="BJ162" s="533"/>
      <c r="BK162" s="533"/>
      <c r="BL162" s="533"/>
      <c r="BM162" s="533"/>
    </row>
    <row r="163" spans="4:65" s="518" customFormat="1">
      <c r="D163" s="772"/>
      <c r="E163" s="772"/>
      <c r="F163" s="522"/>
      <c r="G163" s="517"/>
      <c r="H163" s="519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  <c r="S163" s="533"/>
      <c r="T163" s="533"/>
      <c r="U163" s="533"/>
      <c r="V163" s="533"/>
      <c r="W163" s="533"/>
      <c r="X163" s="533"/>
      <c r="Y163" s="533"/>
      <c r="Z163" s="533"/>
      <c r="AA163" s="533"/>
      <c r="AB163" s="533"/>
      <c r="AC163" s="533"/>
      <c r="AD163" s="533"/>
      <c r="AE163" s="533"/>
      <c r="AF163" s="533"/>
      <c r="AG163" s="533"/>
      <c r="AH163" s="533"/>
      <c r="AI163" s="533"/>
      <c r="AJ163" s="533"/>
      <c r="AK163" s="533"/>
      <c r="AL163" s="533"/>
      <c r="AM163" s="533"/>
      <c r="AN163" s="533"/>
      <c r="AO163" s="533"/>
      <c r="AP163" s="533"/>
      <c r="AQ163" s="533"/>
      <c r="AR163" s="533"/>
      <c r="AS163" s="533"/>
      <c r="AT163" s="533"/>
      <c r="AU163" s="533"/>
      <c r="AV163" s="533"/>
      <c r="AW163" s="533"/>
      <c r="AX163" s="533"/>
      <c r="AY163" s="533"/>
      <c r="AZ163" s="533"/>
      <c r="BA163" s="533"/>
      <c r="BB163" s="533"/>
      <c r="BC163" s="533"/>
      <c r="BD163" s="533"/>
      <c r="BE163" s="540"/>
      <c r="BF163" s="540"/>
      <c r="BG163" s="533"/>
      <c r="BH163" s="531"/>
      <c r="BI163" s="532"/>
      <c r="BJ163" s="533"/>
      <c r="BK163" s="533"/>
      <c r="BL163" s="533"/>
      <c r="BM163" s="533"/>
    </row>
    <row r="164" spans="4:65" s="518" customFormat="1">
      <c r="D164" s="772"/>
      <c r="E164" s="772"/>
      <c r="F164" s="522"/>
      <c r="G164" s="517"/>
      <c r="H164" s="519"/>
      <c r="I164" s="533"/>
      <c r="J164" s="533"/>
      <c r="K164" s="533"/>
      <c r="L164" s="533"/>
      <c r="M164" s="533"/>
      <c r="N164" s="533"/>
      <c r="O164" s="533"/>
      <c r="P164" s="533"/>
      <c r="Q164" s="533"/>
      <c r="R164" s="533"/>
      <c r="S164" s="533"/>
      <c r="T164" s="533"/>
      <c r="U164" s="533"/>
      <c r="V164" s="533"/>
      <c r="W164" s="533"/>
      <c r="X164" s="533"/>
      <c r="Y164" s="533"/>
      <c r="Z164" s="533"/>
      <c r="AA164" s="533"/>
      <c r="AB164" s="533"/>
      <c r="AC164" s="533"/>
      <c r="AD164" s="533"/>
      <c r="AE164" s="533"/>
      <c r="AF164" s="533"/>
      <c r="AG164" s="533"/>
      <c r="AH164" s="533"/>
      <c r="AI164" s="533"/>
      <c r="AJ164" s="533"/>
      <c r="AK164" s="533"/>
      <c r="AL164" s="533"/>
      <c r="AM164" s="533"/>
      <c r="AN164" s="533"/>
      <c r="AO164" s="533"/>
      <c r="AP164" s="533"/>
      <c r="AQ164" s="533"/>
      <c r="AR164" s="533"/>
      <c r="AS164" s="533"/>
      <c r="AT164" s="533"/>
      <c r="AU164" s="533"/>
      <c r="AV164" s="533"/>
      <c r="AW164" s="533"/>
      <c r="AX164" s="533"/>
      <c r="AY164" s="533"/>
      <c r="AZ164" s="533"/>
      <c r="BA164" s="533"/>
      <c r="BB164" s="533"/>
      <c r="BC164" s="533"/>
      <c r="BD164" s="533"/>
      <c r="BE164" s="540"/>
      <c r="BF164" s="540"/>
      <c r="BG164" s="533"/>
      <c r="BH164" s="531"/>
      <c r="BI164" s="532"/>
      <c r="BJ164" s="533"/>
      <c r="BK164" s="533"/>
      <c r="BL164" s="533"/>
      <c r="BM164" s="533"/>
    </row>
    <row r="165" spans="4:65" s="518" customFormat="1">
      <c r="D165" s="772"/>
      <c r="E165" s="772"/>
      <c r="F165" s="522"/>
      <c r="G165" s="517"/>
      <c r="H165" s="519"/>
      <c r="I165" s="533"/>
      <c r="J165" s="533"/>
      <c r="K165" s="533"/>
      <c r="L165" s="533"/>
      <c r="M165" s="533"/>
      <c r="N165" s="533"/>
      <c r="O165" s="533"/>
      <c r="P165" s="533"/>
      <c r="Q165" s="533"/>
      <c r="R165" s="533"/>
      <c r="S165" s="533"/>
      <c r="T165" s="533"/>
      <c r="U165" s="533"/>
      <c r="V165" s="533"/>
      <c r="W165" s="533"/>
      <c r="X165" s="533"/>
      <c r="Y165" s="533"/>
      <c r="Z165" s="533"/>
      <c r="AA165" s="533"/>
      <c r="AB165" s="533"/>
      <c r="AC165" s="533"/>
      <c r="AD165" s="533"/>
      <c r="AE165" s="533"/>
      <c r="AF165" s="533"/>
      <c r="AG165" s="533"/>
      <c r="AH165" s="533"/>
      <c r="AI165" s="533"/>
      <c r="AJ165" s="533"/>
      <c r="AK165" s="533"/>
      <c r="AL165" s="533"/>
      <c r="AM165" s="533"/>
      <c r="AN165" s="533"/>
      <c r="AO165" s="533"/>
      <c r="AP165" s="533"/>
      <c r="AQ165" s="533"/>
      <c r="AR165" s="533"/>
      <c r="AS165" s="533"/>
      <c r="AT165" s="533"/>
      <c r="AU165" s="533"/>
      <c r="AV165" s="533"/>
      <c r="AW165" s="533"/>
      <c r="AX165" s="533"/>
      <c r="AY165" s="533"/>
      <c r="AZ165" s="533"/>
      <c r="BA165" s="533"/>
      <c r="BB165" s="533"/>
      <c r="BC165" s="533"/>
      <c r="BD165" s="533"/>
      <c r="BE165" s="540"/>
      <c r="BF165" s="540"/>
      <c r="BG165" s="533"/>
      <c r="BH165" s="531"/>
      <c r="BI165" s="532"/>
      <c r="BJ165" s="533"/>
      <c r="BK165" s="533"/>
      <c r="BL165" s="533"/>
      <c r="BM165" s="533"/>
    </row>
    <row r="166" spans="4:65" s="518" customFormat="1">
      <c r="D166" s="772"/>
      <c r="E166" s="772"/>
      <c r="F166" s="522"/>
      <c r="G166" s="517"/>
      <c r="H166" s="519"/>
      <c r="I166" s="533"/>
      <c r="J166" s="533"/>
      <c r="K166" s="533"/>
      <c r="L166" s="533"/>
      <c r="M166" s="533"/>
      <c r="N166" s="533"/>
      <c r="O166" s="533"/>
      <c r="P166" s="533"/>
      <c r="Q166" s="533"/>
      <c r="R166" s="533"/>
      <c r="S166" s="533"/>
      <c r="T166" s="533"/>
      <c r="U166" s="533"/>
      <c r="V166" s="533"/>
      <c r="W166" s="533"/>
      <c r="X166" s="533"/>
      <c r="Y166" s="533"/>
      <c r="Z166" s="533"/>
      <c r="AA166" s="533"/>
      <c r="AB166" s="533"/>
      <c r="AC166" s="533"/>
      <c r="AD166" s="533"/>
      <c r="AE166" s="533"/>
      <c r="AF166" s="533"/>
      <c r="AG166" s="533"/>
      <c r="AH166" s="533"/>
      <c r="AI166" s="533"/>
      <c r="AJ166" s="533"/>
      <c r="AK166" s="533"/>
      <c r="AL166" s="533"/>
      <c r="AM166" s="533"/>
      <c r="AN166" s="533"/>
      <c r="AO166" s="533"/>
      <c r="AP166" s="533"/>
      <c r="AQ166" s="533"/>
      <c r="AR166" s="533"/>
      <c r="AS166" s="533"/>
      <c r="AT166" s="533"/>
      <c r="AU166" s="533"/>
      <c r="AV166" s="533"/>
      <c r="AW166" s="533"/>
      <c r="AX166" s="533"/>
      <c r="AY166" s="533"/>
      <c r="AZ166" s="533"/>
      <c r="BA166" s="533"/>
      <c r="BB166" s="533"/>
      <c r="BC166" s="533"/>
      <c r="BD166" s="533"/>
      <c r="BE166" s="540"/>
      <c r="BF166" s="540"/>
      <c r="BG166" s="533"/>
      <c r="BH166" s="531"/>
      <c r="BI166" s="532"/>
      <c r="BJ166" s="533"/>
      <c r="BK166" s="533"/>
      <c r="BL166" s="533"/>
      <c r="BM166" s="533"/>
    </row>
    <row r="167" spans="4:65" s="518" customFormat="1">
      <c r="D167" s="772"/>
      <c r="E167" s="772"/>
      <c r="F167" s="522"/>
      <c r="G167" s="517"/>
      <c r="H167" s="519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533"/>
      <c r="T167" s="533"/>
      <c r="U167" s="533"/>
      <c r="V167" s="533"/>
      <c r="W167" s="533"/>
      <c r="X167" s="533"/>
      <c r="Y167" s="533"/>
      <c r="Z167" s="533"/>
      <c r="AA167" s="533"/>
      <c r="AB167" s="533"/>
      <c r="AC167" s="533"/>
      <c r="AD167" s="533"/>
      <c r="AE167" s="533"/>
      <c r="AF167" s="533"/>
      <c r="AG167" s="533"/>
      <c r="AH167" s="533"/>
      <c r="AI167" s="533"/>
      <c r="AJ167" s="533"/>
      <c r="AK167" s="533"/>
      <c r="AL167" s="533"/>
      <c r="AM167" s="533"/>
      <c r="AN167" s="533"/>
      <c r="AO167" s="533"/>
      <c r="AP167" s="533"/>
      <c r="AQ167" s="533"/>
      <c r="AR167" s="533"/>
      <c r="AS167" s="533"/>
      <c r="AT167" s="533"/>
      <c r="AU167" s="533"/>
      <c r="AV167" s="533"/>
      <c r="AW167" s="533"/>
      <c r="AX167" s="533"/>
      <c r="AY167" s="533"/>
      <c r="AZ167" s="533"/>
      <c r="BA167" s="533"/>
      <c r="BB167" s="533"/>
      <c r="BC167" s="533"/>
      <c r="BD167" s="533"/>
      <c r="BE167" s="540"/>
      <c r="BF167" s="540"/>
      <c r="BG167" s="533"/>
      <c r="BH167" s="531"/>
      <c r="BI167" s="532"/>
      <c r="BJ167" s="533"/>
      <c r="BK167" s="533"/>
      <c r="BL167" s="533"/>
      <c r="BM167" s="533"/>
    </row>
    <row r="168" spans="4:65" s="518" customFormat="1">
      <c r="D168" s="772"/>
      <c r="E168" s="772"/>
      <c r="F168" s="522"/>
      <c r="G168" s="517"/>
      <c r="H168" s="519"/>
      <c r="I168" s="533"/>
      <c r="J168" s="533"/>
      <c r="K168" s="533"/>
      <c r="L168" s="533"/>
      <c r="M168" s="533"/>
      <c r="N168" s="533"/>
      <c r="O168" s="533"/>
      <c r="P168" s="533"/>
      <c r="Q168" s="533"/>
      <c r="R168" s="533"/>
      <c r="S168" s="533"/>
      <c r="T168" s="533"/>
      <c r="U168" s="533"/>
      <c r="V168" s="533"/>
      <c r="W168" s="533"/>
      <c r="X168" s="533"/>
      <c r="Y168" s="533"/>
      <c r="Z168" s="533"/>
      <c r="AA168" s="533"/>
      <c r="AB168" s="533"/>
      <c r="AC168" s="533"/>
      <c r="AD168" s="533"/>
      <c r="AE168" s="533"/>
      <c r="AF168" s="533"/>
      <c r="AG168" s="533"/>
      <c r="AH168" s="533"/>
      <c r="AI168" s="533"/>
      <c r="AJ168" s="533"/>
      <c r="AK168" s="533"/>
      <c r="AL168" s="533"/>
      <c r="AM168" s="533"/>
      <c r="AN168" s="533"/>
      <c r="AO168" s="533"/>
      <c r="AP168" s="533"/>
      <c r="AQ168" s="533"/>
      <c r="AR168" s="533"/>
      <c r="AS168" s="533"/>
      <c r="AT168" s="533"/>
      <c r="AU168" s="533"/>
      <c r="AV168" s="533"/>
      <c r="AW168" s="533"/>
      <c r="AX168" s="533"/>
      <c r="AY168" s="533"/>
      <c r="AZ168" s="533"/>
      <c r="BA168" s="533"/>
      <c r="BB168" s="533"/>
      <c r="BC168" s="533"/>
      <c r="BD168" s="533"/>
      <c r="BE168" s="540"/>
      <c r="BF168" s="540"/>
      <c r="BG168" s="533"/>
      <c r="BH168" s="531"/>
      <c r="BI168" s="532"/>
      <c r="BJ168" s="533"/>
      <c r="BK168" s="533"/>
      <c r="BL168" s="533"/>
      <c r="BM168" s="533"/>
    </row>
    <row r="169" spans="4:65" s="518" customFormat="1">
      <c r="D169" s="772"/>
      <c r="E169" s="772"/>
      <c r="F169" s="522"/>
      <c r="G169" s="517"/>
      <c r="H169" s="519"/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  <c r="S169" s="533"/>
      <c r="T169" s="533"/>
      <c r="U169" s="533"/>
      <c r="V169" s="533"/>
      <c r="W169" s="533"/>
      <c r="X169" s="533"/>
      <c r="Y169" s="533"/>
      <c r="Z169" s="533"/>
      <c r="AA169" s="533"/>
      <c r="AB169" s="533"/>
      <c r="AC169" s="533"/>
      <c r="AD169" s="533"/>
      <c r="AE169" s="533"/>
      <c r="AF169" s="533"/>
      <c r="AG169" s="533"/>
      <c r="AH169" s="533"/>
      <c r="AI169" s="533"/>
      <c r="AJ169" s="533"/>
      <c r="AK169" s="533"/>
      <c r="AL169" s="533"/>
      <c r="AM169" s="533"/>
      <c r="AN169" s="533"/>
      <c r="AO169" s="533"/>
      <c r="AP169" s="533"/>
      <c r="AQ169" s="533"/>
      <c r="AR169" s="533"/>
      <c r="AS169" s="533"/>
      <c r="AT169" s="533"/>
      <c r="AU169" s="533"/>
      <c r="AV169" s="533"/>
      <c r="AW169" s="533"/>
      <c r="AX169" s="533"/>
      <c r="AY169" s="533"/>
      <c r="AZ169" s="533"/>
      <c r="BA169" s="533"/>
      <c r="BB169" s="533"/>
      <c r="BC169" s="533"/>
      <c r="BD169" s="533"/>
      <c r="BE169" s="540"/>
      <c r="BF169" s="540"/>
      <c r="BG169" s="533"/>
      <c r="BH169" s="531"/>
      <c r="BI169" s="532"/>
      <c r="BJ169" s="533"/>
      <c r="BK169" s="533"/>
      <c r="BL169" s="533"/>
      <c r="BM169" s="533"/>
    </row>
    <row r="170" spans="4:65" s="518" customFormat="1">
      <c r="D170" s="772"/>
      <c r="E170" s="772"/>
      <c r="F170" s="522"/>
      <c r="G170" s="517"/>
      <c r="H170" s="519"/>
      <c r="I170" s="533"/>
      <c r="J170" s="533"/>
      <c r="K170" s="533"/>
      <c r="L170" s="533"/>
      <c r="M170" s="533"/>
      <c r="N170" s="533"/>
      <c r="O170" s="533"/>
      <c r="P170" s="533"/>
      <c r="Q170" s="533"/>
      <c r="R170" s="533"/>
      <c r="S170" s="533"/>
      <c r="T170" s="533"/>
      <c r="U170" s="533"/>
      <c r="V170" s="533"/>
      <c r="W170" s="533"/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533"/>
      <c r="AI170" s="533"/>
      <c r="AJ170" s="533"/>
      <c r="AK170" s="533"/>
      <c r="AL170" s="533"/>
      <c r="AM170" s="533"/>
      <c r="AN170" s="533"/>
      <c r="AO170" s="533"/>
      <c r="AP170" s="533"/>
      <c r="AQ170" s="533"/>
      <c r="AR170" s="533"/>
      <c r="AS170" s="533"/>
      <c r="AT170" s="533"/>
      <c r="AU170" s="533"/>
      <c r="AV170" s="533"/>
      <c r="AW170" s="533"/>
      <c r="AX170" s="533"/>
      <c r="AY170" s="533"/>
      <c r="AZ170" s="533"/>
      <c r="BA170" s="533"/>
      <c r="BB170" s="533"/>
      <c r="BC170" s="533"/>
      <c r="BD170" s="533"/>
      <c r="BE170" s="540"/>
      <c r="BF170" s="540"/>
      <c r="BG170" s="533"/>
      <c r="BH170" s="531"/>
      <c r="BI170" s="532"/>
      <c r="BJ170" s="533"/>
      <c r="BK170" s="533"/>
      <c r="BL170" s="533"/>
      <c r="BM170" s="533"/>
    </row>
    <row r="171" spans="4:65" s="518" customFormat="1">
      <c r="D171" s="772"/>
      <c r="E171" s="772"/>
      <c r="F171" s="522"/>
      <c r="G171" s="517"/>
      <c r="H171" s="519"/>
      <c r="I171" s="533"/>
      <c r="J171" s="533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3"/>
      <c r="X171" s="533"/>
      <c r="Y171" s="533"/>
      <c r="Z171" s="533"/>
      <c r="AA171" s="533"/>
      <c r="AB171" s="533"/>
      <c r="AC171" s="533"/>
      <c r="AD171" s="533"/>
      <c r="AE171" s="533"/>
      <c r="AF171" s="533"/>
      <c r="AG171" s="533"/>
      <c r="AH171" s="533"/>
      <c r="AI171" s="533"/>
      <c r="AJ171" s="533"/>
      <c r="AK171" s="533"/>
      <c r="AL171" s="533"/>
      <c r="AM171" s="533"/>
      <c r="AN171" s="533"/>
      <c r="AO171" s="533"/>
      <c r="AP171" s="533"/>
      <c r="AQ171" s="533"/>
      <c r="AR171" s="533"/>
      <c r="AS171" s="533"/>
      <c r="AT171" s="533"/>
      <c r="AU171" s="533"/>
      <c r="AV171" s="533"/>
      <c r="AW171" s="533"/>
      <c r="AX171" s="533"/>
      <c r="AY171" s="533"/>
      <c r="AZ171" s="533"/>
      <c r="BA171" s="533"/>
      <c r="BB171" s="533"/>
      <c r="BC171" s="533"/>
      <c r="BD171" s="533"/>
      <c r="BE171" s="540"/>
      <c r="BF171" s="540"/>
      <c r="BG171" s="533"/>
      <c r="BH171" s="531"/>
      <c r="BI171" s="532"/>
      <c r="BJ171" s="533"/>
      <c r="BK171" s="533"/>
      <c r="BL171" s="533"/>
      <c r="BM171" s="533"/>
    </row>
    <row r="172" spans="4:65" s="518" customFormat="1">
      <c r="D172" s="772"/>
      <c r="E172" s="772"/>
      <c r="F172" s="522"/>
      <c r="G172" s="517"/>
      <c r="H172" s="519"/>
      <c r="I172" s="533"/>
      <c r="J172" s="533"/>
      <c r="K172" s="533"/>
      <c r="L172" s="533"/>
      <c r="M172" s="533"/>
      <c r="N172" s="533"/>
      <c r="O172" s="533"/>
      <c r="P172" s="533"/>
      <c r="Q172" s="533"/>
      <c r="R172" s="533"/>
      <c r="S172" s="533"/>
      <c r="T172" s="533"/>
      <c r="U172" s="533"/>
      <c r="V172" s="533"/>
      <c r="W172" s="533"/>
      <c r="X172" s="533"/>
      <c r="Y172" s="533"/>
      <c r="Z172" s="533"/>
      <c r="AA172" s="533"/>
      <c r="AB172" s="533"/>
      <c r="AC172" s="533"/>
      <c r="AD172" s="533"/>
      <c r="AE172" s="533"/>
      <c r="AF172" s="533"/>
      <c r="AG172" s="533"/>
      <c r="AH172" s="533"/>
      <c r="AI172" s="533"/>
      <c r="AJ172" s="533"/>
      <c r="AK172" s="533"/>
      <c r="AL172" s="533"/>
      <c r="AM172" s="533"/>
      <c r="AN172" s="533"/>
      <c r="AO172" s="533"/>
      <c r="AP172" s="533"/>
      <c r="AQ172" s="533"/>
      <c r="AR172" s="533"/>
      <c r="AS172" s="533"/>
      <c r="AT172" s="533"/>
      <c r="AU172" s="533"/>
      <c r="AV172" s="533"/>
      <c r="AW172" s="533"/>
      <c r="AX172" s="533"/>
      <c r="AY172" s="533"/>
      <c r="AZ172" s="533"/>
      <c r="BA172" s="533"/>
      <c r="BB172" s="533"/>
      <c r="BC172" s="533"/>
      <c r="BD172" s="533"/>
      <c r="BE172" s="540"/>
      <c r="BF172" s="540"/>
      <c r="BG172" s="533"/>
      <c r="BH172" s="531"/>
      <c r="BI172" s="532"/>
      <c r="BJ172" s="533"/>
      <c r="BK172" s="533"/>
      <c r="BL172" s="533"/>
      <c r="BM172" s="533"/>
    </row>
    <row r="173" spans="4:65" s="518" customFormat="1">
      <c r="D173" s="772"/>
      <c r="E173" s="772"/>
      <c r="F173" s="522"/>
      <c r="G173" s="517"/>
      <c r="H173" s="519"/>
      <c r="I173" s="533"/>
      <c r="J173" s="533"/>
      <c r="K173" s="533"/>
      <c r="L173" s="533"/>
      <c r="M173" s="533"/>
      <c r="N173" s="533"/>
      <c r="O173" s="533"/>
      <c r="P173" s="533"/>
      <c r="Q173" s="533"/>
      <c r="R173" s="533"/>
      <c r="S173" s="533"/>
      <c r="T173" s="533"/>
      <c r="U173" s="533"/>
      <c r="V173" s="533"/>
      <c r="W173" s="533"/>
      <c r="X173" s="533"/>
      <c r="Y173" s="533"/>
      <c r="Z173" s="533"/>
      <c r="AA173" s="533"/>
      <c r="AB173" s="533"/>
      <c r="AC173" s="533"/>
      <c r="AD173" s="533"/>
      <c r="AE173" s="533"/>
      <c r="AF173" s="533"/>
      <c r="AG173" s="533"/>
      <c r="AH173" s="533"/>
      <c r="AI173" s="533"/>
      <c r="AJ173" s="533"/>
      <c r="AK173" s="533"/>
      <c r="AL173" s="533"/>
      <c r="AM173" s="533"/>
      <c r="AN173" s="533"/>
      <c r="AO173" s="533"/>
      <c r="AP173" s="533"/>
      <c r="AQ173" s="533"/>
      <c r="AR173" s="533"/>
      <c r="AS173" s="533"/>
      <c r="AT173" s="533"/>
      <c r="AU173" s="533"/>
      <c r="AV173" s="533"/>
      <c r="AW173" s="533"/>
      <c r="AX173" s="533"/>
      <c r="AY173" s="533"/>
      <c r="AZ173" s="533"/>
      <c r="BA173" s="533"/>
      <c r="BB173" s="533"/>
      <c r="BC173" s="533"/>
      <c r="BD173" s="533"/>
      <c r="BE173" s="540"/>
      <c r="BF173" s="540"/>
      <c r="BG173" s="533"/>
      <c r="BH173" s="531"/>
      <c r="BI173" s="532"/>
      <c r="BJ173" s="533"/>
      <c r="BK173" s="533"/>
      <c r="BL173" s="533"/>
      <c r="BM173" s="533"/>
    </row>
    <row r="174" spans="4:65" s="518" customFormat="1">
      <c r="D174" s="772"/>
      <c r="E174" s="772"/>
      <c r="F174" s="522"/>
      <c r="G174" s="517"/>
      <c r="H174" s="519"/>
      <c r="I174" s="533"/>
      <c r="J174" s="533"/>
      <c r="K174" s="533"/>
      <c r="L174" s="533"/>
      <c r="M174" s="533"/>
      <c r="N174" s="533"/>
      <c r="O174" s="533"/>
      <c r="P174" s="533"/>
      <c r="Q174" s="533"/>
      <c r="R174" s="533"/>
      <c r="S174" s="533"/>
      <c r="T174" s="533"/>
      <c r="U174" s="533"/>
      <c r="V174" s="533"/>
      <c r="W174" s="533"/>
      <c r="X174" s="533"/>
      <c r="Y174" s="533"/>
      <c r="Z174" s="533"/>
      <c r="AA174" s="533"/>
      <c r="AB174" s="533"/>
      <c r="AC174" s="533"/>
      <c r="AD174" s="533"/>
      <c r="AE174" s="533"/>
      <c r="AF174" s="533"/>
      <c r="AG174" s="533"/>
      <c r="AH174" s="533"/>
      <c r="AI174" s="533"/>
      <c r="AJ174" s="533"/>
      <c r="AK174" s="533"/>
      <c r="AL174" s="533"/>
      <c r="AM174" s="533"/>
      <c r="AN174" s="533"/>
      <c r="AO174" s="533"/>
      <c r="AP174" s="533"/>
      <c r="AQ174" s="533"/>
      <c r="AR174" s="533"/>
      <c r="AS174" s="533"/>
      <c r="AT174" s="533"/>
      <c r="AU174" s="533"/>
      <c r="AV174" s="533"/>
      <c r="AW174" s="533"/>
      <c r="AX174" s="533"/>
      <c r="AY174" s="533"/>
      <c r="AZ174" s="533"/>
      <c r="BA174" s="533"/>
      <c r="BB174" s="533"/>
      <c r="BC174" s="533"/>
      <c r="BD174" s="533"/>
      <c r="BE174" s="540"/>
      <c r="BF174" s="540"/>
      <c r="BG174" s="533"/>
      <c r="BH174" s="531"/>
      <c r="BI174" s="532"/>
      <c r="BJ174" s="533"/>
      <c r="BK174" s="533"/>
      <c r="BL174" s="533"/>
      <c r="BM174" s="533"/>
    </row>
    <row r="175" spans="4:65" s="518" customFormat="1">
      <c r="D175" s="772"/>
      <c r="E175" s="772"/>
      <c r="F175" s="522"/>
      <c r="G175" s="517"/>
      <c r="H175" s="519"/>
      <c r="I175" s="533"/>
      <c r="J175" s="533"/>
      <c r="K175" s="533"/>
      <c r="L175" s="533"/>
      <c r="M175" s="533"/>
      <c r="N175" s="533"/>
      <c r="O175" s="533"/>
      <c r="P175" s="533"/>
      <c r="Q175" s="533"/>
      <c r="R175" s="533"/>
      <c r="S175" s="533"/>
      <c r="T175" s="533"/>
      <c r="U175" s="533"/>
      <c r="V175" s="533"/>
      <c r="W175" s="533"/>
      <c r="X175" s="533"/>
      <c r="Y175" s="533"/>
      <c r="Z175" s="533"/>
      <c r="AA175" s="533"/>
      <c r="AB175" s="533"/>
      <c r="AC175" s="533"/>
      <c r="AD175" s="533"/>
      <c r="AE175" s="533"/>
      <c r="AF175" s="533"/>
      <c r="AG175" s="533"/>
      <c r="AH175" s="533"/>
      <c r="AI175" s="533"/>
      <c r="AJ175" s="533"/>
      <c r="AK175" s="533"/>
      <c r="AL175" s="533"/>
      <c r="AM175" s="533"/>
      <c r="AN175" s="533"/>
      <c r="AO175" s="533"/>
      <c r="AP175" s="533"/>
      <c r="AQ175" s="533"/>
      <c r="AR175" s="533"/>
      <c r="AS175" s="533"/>
      <c r="AT175" s="533"/>
      <c r="AU175" s="533"/>
      <c r="AV175" s="533"/>
      <c r="AW175" s="533"/>
      <c r="AX175" s="533"/>
      <c r="AY175" s="533"/>
      <c r="AZ175" s="533"/>
      <c r="BA175" s="533"/>
      <c r="BB175" s="533"/>
      <c r="BC175" s="533"/>
      <c r="BD175" s="533"/>
      <c r="BE175" s="540"/>
      <c r="BF175" s="540"/>
      <c r="BG175" s="533"/>
      <c r="BH175" s="531"/>
      <c r="BI175" s="532"/>
      <c r="BJ175" s="533"/>
      <c r="BK175" s="533"/>
      <c r="BL175" s="533"/>
      <c r="BM175" s="533"/>
    </row>
    <row r="176" spans="4:65" s="518" customFormat="1">
      <c r="D176" s="772"/>
      <c r="E176" s="772"/>
      <c r="F176" s="522"/>
      <c r="G176" s="517"/>
      <c r="H176" s="519"/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3"/>
      <c r="Z176" s="533"/>
      <c r="AA176" s="533"/>
      <c r="AB176" s="533"/>
      <c r="AC176" s="533"/>
      <c r="AD176" s="533"/>
      <c r="AE176" s="533"/>
      <c r="AF176" s="533"/>
      <c r="AG176" s="533"/>
      <c r="AH176" s="533"/>
      <c r="AI176" s="533"/>
      <c r="AJ176" s="533"/>
      <c r="AK176" s="533"/>
      <c r="AL176" s="533"/>
      <c r="AM176" s="533"/>
      <c r="AN176" s="533"/>
      <c r="AO176" s="533"/>
      <c r="AP176" s="533"/>
      <c r="AQ176" s="533"/>
      <c r="AR176" s="533"/>
      <c r="AS176" s="533"/>
      <c r="AT176" s="533"/>
      <c r="AU176" s="533"/>
      <c r="AV176" s="533"/>
      <c r="AW176" s="533"/>
      <c r="AX176" s="533"/>
      <c r="AY176" s="533"/>
      <c r="AZ176" s="533"/>
      <c r="BA176" s="533"/>
      <c r="BB176" s="533"/>
      <c r="BC176" s="533"/>
      <c r="BD176" s="533"/>
      <c r="BE176" s="540"/>
      <c r="BF176" s="540"/>
      <c r="BG176" s="533"/>
      <c r="BH176" s="531"/>
      <c r="BI176" s="532"/>
      <c r="BJ176" s="533"/>
      <c r="BK176" s="533"/>
      <c r="BL176" s="533"/>
      <c r="BM176" s="533"/>
    </row>
    <row r="177" spans="4:65" s="518" customFormat="1">
      <c r="D177" s="772"/>
      <c r="E177" s="772"/>
      <c r="F177" s="522"/>
      <c r="G177" s="517"/>
      <c r="H177" s="519"/>
      <c r="I177" s="533"/>
      <c r="J177" s="533"/>
      <c r="K177" s="533"/>
      <c r="L177" s="533"/>
      <c r="M177" s="533"/>
      <c r="N177" s="533"/>
      <c r="O177" s="533"/>
      <c r="P177" s="533"/>
      <c r="Q177" s="533"/>
      <c r="R177" s="533"/>
      <c r="S177" s="533"/>
      <c r="T177" s="533"/>
      <c r="U177" s="533"/>
      <c r="V177" s="533"/>
      <c r="W177" s="533"/>
      <c r="X177" s="533"/>
      <c r="Y177" s="533"/>
      <c r="Z177" s="533"/>
      <c r="AA177" s="533"/>
      <c r="AB177" s="533"/>
      <c r="AC177" s="533"/>
      <c r="AD177" s="533"/>
      <c r="AE177" s="533"/>
      <c r="AF177" s="533"/>
      <c r="AG177" s="533"/>
      <c r="AH177" s="533"/>
      <c r="AI177" s="533"/>
      <c r="AJ177" s="533"/>
      <c r="AK177" s="533"/>
      <c r="AL177" s="533"/>
      <c r="AM177" s="533"/>
      <c r="AN177" s="533"/>
      <c r="AO177" s="533"/>
      <c r="AP177" s="533"/>
      <c r="AQ177" s="533"/>
      <c r="AR177" s="533"/>
      <c r="AS177" s="533"/>
      <c r="AT177" s="533"/>
      <c r="AU177" s="533"/>
      <c r="AV177" s="533"/>
      <c r="AW177" s="533"/>
      <c r="AX177" s="533"/>
      <c r="AY177" s="533"/>
      <c r="AZ177" s="533"/>
      <c r="BA177" s="533"/>
      <c r="BB177" s="533"/>
      <c r="BC177" s="533"/>
      <c r="BD177" s="533"/>
      <c r="BE177" s="540"/>
      <c r="BF177" s="540"/>
      <c r="BG177" s="533"/>
      <c r="BH177" s="531"/>
      <c r="BI177" s="532"/>
      <c r="BJ177" s="533"/>
      <c r="BK177" s="533"/>
      <c r="BL177" s="533"/>
      <c r="BM177" s="533"/>
    </row>
    <row r="178" spans="4:65" s="518" customFormat="1">
      <c r="D178" s="772"/>
      <c r="E178" s="772"/>
      <c r="F178" s="522"/>
      <c r="G178" s="517"/>
      <c r="H178" s="519"/>
      <c r="I178" s="533"/>
      <c r="J178" s="533"/>
      <c r="K178" s="533"/>
      <c r="L178" s="533"/>
      <c r="M178" s="533"/>
      <c r="N178" s="533"/>
      <c r="O178" s="533"/>
      <c r="P178" s="533"/>
      <c r="Q178" s="533"/>
      <c r="R178" s="533"/>
      <c r="S178" s="533"/>
      <c r="T178" s="533"/>
      <c r="U178" s="533"/>
      <c r="V178" s="533"/>
      <c r="W178" s="533"/>
      <c r="X178" s="533"/>
      <c r="Y178" s="533"/>
      <c r="Z178" s="533"/>
      <c r="AA178" s="533"/>
      <c r="AB178" s="533"/>
      <c r="AC178" s="533"/>
      <c r="AD178" s="533"/>
      <c r="AE178" s="533"/>
      <c r="AF178" s="533"/>
      <c r="AG178" s="533"/>
      <c r="AH178" s="533"/>
      <c r="AI178" s="533"/>
      <c r="AJ178" s="533"/>
      <c r="AK178" s="533"/>
      <c r="AL178" s="533"/>
      <c r="AM178" s="533"/>
      <c r="AN178" s="533"/>
      <c r="AO178" s="533"/>
      <c r="AP178" s="533"/>
      <c r="AQ178" s="533"/>
      <c r="AR178" s="533"/>
      <c r="AS178" s="533"/>
      <c r="AT178" s="533"/>
      <c r="AU178" s="533"/>
      <c r="AV178" s="533"/>
      <c r="AW178" s="533"/>
      <c r="AX178" s="533"/>
      <c r="AY178" s="533"/>
      <c r="AZ178" s="533"/>
      <c r="BA178" s="533"/>
      <c r="BB178" s="533"/>
      <c r="BC178" s="533"/>
      <c r="BD178" s="533"/>
      <c r="BE178" s="540"/>
      <c r="BF178" s="540"/>
      <c r="BG178" s="533"/>
      <c r="BH178" s="531"/>
      <c r="BI178" s="532"/>
      <c r="BJ178" s="533"/>
      <c r="BK178" s="533"/>
      <c r="BL178" s="533"/>
      <c r="BM178" s="533"/>
    </row>
    <row r="179" spans="4:65" s="518" customFormat="1">
      <c r="D179" s="772"/>
      <c r="E179" s="772"/>
      <c r="F179" s="522"/>
      <c r="G179" s="517"/>
      <c r="H179" s="519"/>
      <c r="I179" s="533"/>
      <c r="J179" s="533"/>
      <c r="K179" s="533"/>
      <c r="L179" s="533"/>
      <c r="M179" s="533"/>
      <c r="N179" s="533"/>
      <c r="O179" s="533"/>
      <c r="P179" s="533"/>
      <c r="Q179" s="533"/>
      <c r="R179" s="533"/>
      <c r="S179" s="533"/>
      <c r="T179" s="533"/>
      <c r="U179" s="533"/>
      <c r="V179" s="533"/>
      <c r="W179" s="533"/>
      <c r="X179" s="533"/>
      <c r="Y179" s="533"/>
      <c r="Z179" s="533"/>
      <c r="AA179" s="533"/>
      <c r="AB179" s="533"/>
      <c r="AC179" s="533"/>
      <c r="AD179" s="533"/>
      <c r="AE179" s="533"/>
      <c r="AF179" s="533"/>
      <c r="AG179" s="533"/>
      <c r="AH179" s="533"/>
      <c r="AI179" s="533"/>
      <c r="AJ179" s="533"/>
      <c r="AK179" s="533"/>
      <c r="AL179" s="533"/>
      <c r="AM179" s="533"/>
      <c r="AN179" s="533"/>
      <c r="AO179" s="533"/>
      <c r="AP179" s="533"/>
      <c r="AQ179" s="533"/>
      <c r="AR179" s="533"/>
      <c r="AS179" s="533"/>
      <c r="AT179" s="533"/>
      <c r="AU179" s="533"/>
      <c r="AV179" s="533"/>
      <c r="AW179" s="533"/>
      <c r="AX179" s="533"/>
      <c r="AY179" s="533"/>
      <c r="AZ179" s="533"/>
      <c r="BA179" s="533"/>
      <c r="BB179" s="533"/>
      <c r="BC179" s="533"/>
      <c r="BD179" s="533"/>
      <c r="BE179" s="540"/>
      <c r="BF179" s="540"/>
      <c r="BG179" s="533"/>
      <c r="BH179" s="531"/>
      <c r="BI179" s="532"/>
      <c r="BJ179" s="533"/>
      <c r="BK179" s="533"/>
      <c r="BL179" s="533"/>
      <c r="BM179" s="533"/>
    </row>
    <row r="180" spans="4:65" s="518" customFormat="1">
      <c r="D180" s="772"/>
      <c r="E180" s="772"/>
      <c r="F180" s="522"/>
      <c r="G180" s="517"/>
      <c r="H180" s="519"/>
      <c r="I180" s="533"/>
      <c r="J180" s="533"/>
      <c r="K180" s="533"/>
      <c r="L180" s="533"/>
      <c r="M180" s="533"/>
      <c r="N180" s="533"/>
      <c r="O180" s="533"/>
      <c r="P180" s="533"/>
      <c r="Q180" s="533"/>
      <c r="R180" s="533"/>
      <c r="S180" s="533"/>
      <c r="T180" s="533"/>
      <c r="U180" s="533"/>
      <c r="V180" s="533"/>
      <c r="W180" s="533"/>
      <c r="X180" s="533"/>
      <c r="Y180" s="533"/>
      <c r="Z180" s="533"/>
      <c r="AA180" s="533"/>
      <c r="AB180" s="533"/>
      <c r="AC180" s="533"/>
      <c r="AD180" s="533"/>
      <c r="AE180" s="533"/>
      <c r="AF180" s="533"/>
      <c r="AG180" s="533"/>
      <c r="AH180" s="533"/>
      <c r="AI180" s="533"/>
      <c r="AJ180" s="533"/>
      <c r="AK180" s="533"/>
      <c r="AL180" s="533"/>
      <c r="AM180" s="533"/>
      <c r="AN180" s="533"/>
      <c r="AO180" s="533"/>
      <c r="AP180" s="533"/>
      <c r="AQ180" s="533"/>
      <c r="AR180" s="533"/>
      <c r="AS180" s="533"/>
      <c r="AT180" s="533"/>
      <c r="AU180" s="533"/>
      <c r="AV180" s="533"/>
      <c r="AW180" s="533"/>
      <c r="AX180" s="533"/>
      <c r="AY180" s="533"/>
      <c r="AZ180" s="533"/>
      <c r="BA180" s="533"/>
      <c r="BB180" s="533"/>
      <c r="BC180" s="533"/>
      <c r="BD180" s="533"/>
      <c r="BE180" s="540"/>
      <c r="BF180" s="540"/>
      <c r="BG180" s="533"/>
      <c r="BH180" s="531"/>
      <c r="BI180" s="532"/>
      <c r="BJ180" s="533"/>
      <c r="BK180" s="533"/>
      <c r="BL180" s="533"/>
      <c r="BM180" s="533"/>
    </row>
    <row r="181" spans="4:65" s="518" customFormat="1">
      <c r="D181" s="772"/>
      <c r="E181" s="772"/>
      <c r="F181" s="522"/>
      <c r="G181" s="517"/>
      <c r="H181" s="519"/>
      <c r="I181" s="533"/>
      <c r="J181" s="533"/>
      <c r="K181" s="533"/>
      <c r="L181" s="533"/>
      <c r="M181" s="533"/>
      <c r="N181" s="533"/>
      <c r="O181" s="533"/>
      <c r="P181" s="533"/>
      <c r="Q181" s="533"/>
      <c r="R181" s="533"/>
      <c r="S181" s="533"/>
      <c r="T181" s="533"/>
      <c r="U181" s="533"/>
      <c r="V181" s="533"/>
      <c r="W181" s="533"/>
      <c r="X181" s="533"/>
      <c r="Y181" s="533"/>
      <c r="Z181" s="533"/>
      <c r="AA181" s="533"/>
      <c r="AB181" s="533"/>
      <c r="AC181" s="533"/>
      <c r="AD181" s="533"/>
      <c r="AE181" s="533"/>
      <c r="AF181" s="533"/>
      <c r="AG181" s="533"/>
      <c r="AH181" s="533"/>
      <c r="AI181" s="533"/>
      <c r="AJ181" s="533"/>
      <c r="AK181" s="533"/>
      <c r="AL181" s="533"/>
      <c r="AM181" s="533"/>
      <c r="AN181" s="533"/>
      <c r="AO181" s="533"/>
      <c r="AP181" s="533"/>
      <c r="AQ181" s="533"/>
      <c r="AR181" s="533"/>
      <c r="AS181" s="533"/>
      <c r="AT181" s="533"/>
      <c r="AU181" s="533"/>
      <c r="AV181" s="533"/>
      <c r="AW181" s="533"/>
      <c r="AX181" s="533"/>
      <c r="AY181" s="533"/>
      <c r="AZ181" s="533"/>
      <c r="BA181" s="533"/>
      <c r="BB181" s="533"/>
      <c r="BC181" s="533"/>
      <c r="BD181" s="533"/>
      <c r="BE181" s="540"/>
      <c r="BF181" s="540"/>
      <c r="BG181" s="533"/>
      <c r="BH181" s="531"/>
      <c r="BI181" s="532"/>
      <c r="BJ181" s="533"/>
      <c r="BK181" s="533"/>
      <c r="BL181" s="533"/>
      <c r="BM181" s="533"/>
    </row>
    <row r="182" spans="4:65" s="518" customFormat="1">
      <c r="D182" s="772"/>
      <c r="E182" s="772"/>
      <c r="F182" s="522"/>
      <c r="G182" s="517"/>
      <c r="H182" s="519"/>
      <c r="I182" s="533"/>
      <c r="J182" s="533"/>
      <c r="K182" s="533"/>
      <c r="L182" s="533"/>
      <c r="M182" s="533"/>
      <c r="N182" s="533"/>
      <c r="O182" s="533"/>
      <c r="P182" s="533"/>
      <c r="Q182" s="533"/>
      <c r="R182" s="533"/>
      <c r="S182" s="533"/>
      <c r="T182" s="533"/>
      <c r="U182" s="533"/>
      <c r="V182" s="533"/>
      <c r="W182" s="533"/>
      <c r="X182" s="533"/>
      <c r="Y182" s="533"/>
      <c r="Z182" s="533"/>
      <c r="AA182" s="533"/>
      <c r="AB182" s="533"/>
      <c r="AC182" s="533"/>
      <c r="AD182" s="533"/>
      <c r="AE182" s="533"/>
      <c r="AF182" s="533"/>
      <c r="AG182" s="533"/>
      <c r="AH182" s="533"/>
      <c r="AI182" s="533"/>
      <c r="AJ182" s="533"/>
      <c r="AK182" s="533"/>
      <c r="AL182" s="533"/>
      <c r="AM182" s="533"/>
      <c r="AN182" s="533"/>
      <c r="AO182" s="533"/>
      <c r="AP182" s="533"/>
      <c r="AQ182" s="533"/>
      <c r="AR182" s="533"/>
      <c r="AS182" s="533"/>
      <c r="AT182" s="533"/>
      <c r="AU182" s="533"/>
      <c r="AV182" s="533"/>
      <c r="AW182" s="533"/>
      <c r="AX182" s="533"/>
      <c r="AY182" s="533"/>
      <c r="AZ182" s="533"/>
      <c r="BA182" s="533"/>
      <c r="BB182" s="533"/>
      <c r="BC182" s="533"/>
      <c r="BD182" s="533"/>
      <c r="BE182" s="540"/>
      <c r="BF182" s="540"/>
      <c r="BG182" s="533"/>
      <c r="BH182" s="531"/>
      <c r="BI182" s="532"/>
      <c r="BJ182" s="533"/>
      <c r="BK182" s="533"/>
      <c r="BL182" s="533"/>
      <c r="BM182" s="533"/>
    </row>
    <row r="183" spans="4:65" s="518" customFormat="1">
      <c r="D183" s="772"/>
      <c r="E183" s="772"/>
      <c r="F183" s="522"/>
      <c r="G183" s="517"/>
      <c r="H183" s="519"/>
      <c r="I183" s="533"/>
      <c r="J183" s="533"/>
      <c r="K183" s="533"/>
      <c r="L183" s="533"/>
      <c r="M183" s="533"/>
      <c r="N183" s="533"/>
      <c r="O183" s="533"/>
      <c r="P183" s="533"/>
      <c r="Q183" s="533"/>
      <c r="R183" s="533"/>
      <c r="S183" s="533"/>
      <c r="T183" s="533"/>
      <c r="U183" s="533"/>
      <c r="V183" s="533"/>
      <c r="W183" s="533"/>
      <c r="X183" s="533"/>
      <c r="Y183" s="533"/>
      <c r="Z183" s="533"/>
      <c r="AA183" s="533"/>
      <c r="AB183" s="533"/>
      <c r="AC183" s="533"/>
      <c r="AD183" s="533"/>
      <c r="AE183" s="533"/>
      <c r="AF183" s="533"/>
      <c r="AG183" s="533"/>
      <c r="AH183" s="533"/>
      <c r="AI183" s="533"/>
      <c r="AJ183" s="533"/>
      <c r="AK183" s="533"/>
      <c r="AL183" s="533"/>
      <c r="AM183" s="533"/>
      <c r="AN183" s="533"/>
      <c r="AO183" s="533"/>
      <c r="AP183" s="533"/>
      <c r="AQ183" s="533"/>
      <c r="AR183" s="533"/>
      <c r="AS183" s="533"/>
      <c r="AT183" s="533"/>
      <c r="AU183" s="533"/>
      <c r="AV183" s="533"/>
      <c r="AW183" s="533"/>
      <c r="AX183" s="533"/>
      <c r="AY183" s="533"/>
      <c r="AZ183" s="533"/>
      <c r="BA183" s="533"/>
      <c r="BB183" s="533"/>
      <c r="BC183" s="533"/>
      <c r="BD183" s="533"/>
      <c r="BE183" s="540"/>
      <c r="BF183" s="540"/>
      <c r="BG183" s="533"/>
      <c r="BH183" s="531"/>
      <c r="BI183" s="532"/>
      <c r="BJ183" s="533"/>
      <c r="BK183" s="533"/>
      <c r="BL183" s="533"/>
      <c r="BM183" s="533"/>
    </row>
    <row r="184" spans="4:65" s="518" customFormat="1">
      <c r="D184" s="772"/>
      <c r="E184" s="772"/>
      <c r="F184" s="522"/>
      <c r="G184" s="517"/>
      <c r="H184" s="519"/>
      <c r="I184" s="533"/>
      <c r="J184" s="533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  <c r="U184" s="533"/>
      <c r="V184" s="533"/>
      <c r="W184" s="533"/>
      <c r="X184" s="533"/>
      <c r="Y184" s="533"/>
      <c r="Z184" s="533"/>
      <c r="AA184" s="533"/>
      <c r="AB184" s="533"/>
      <c r="AC184" s="533"/>
      <c r="AD184" s="533"/>
      <c r="AE184" s="533"/>
      <c r="AF184" s="533"/>
      <c r="AG184" s="533"/>
      <c r="AH184" s="533"/>
      <c r="AI184" s="533"/>
      <c r="AJ184" s="533"/>
      <c r="AK184" s="533"/>
      <c r="AL184" s="533"/>
      <c r="AM184" s="533"/>
      <c r="AN184" s="533"/>
      <c r="AO184" s="533"/>
      <c r="AP184" s="533"/>
      <c r="AQ184" s="533"/>
      <c r="AR184" s="533"/>
      <c r="AS184" s="533"/>
      <c r="AT184" s="533"/>
      <c r="AU184" s="533"/>
      <c r="AV184" s="533"/>
      <c r="AW184" s="533"/>
      <c r="AX184" s="533"/>
      <c r="AY184" s="533"/>
      <c r="AZ184" s="533"/>
      <c r="BA184" s="533"/>
      <c r="BB184" s="533"/>
      <c r="BC184" s="533"/>
      <c r="BD184" s="533"/>
      <c r="BE184" s="540"/>
      <c r="BF184" s="540"/>
      <c r="BG184" s="533"/>
      <c r="BH184" s="531"/>
      <c r="BI184" s="532"/>
      <c r="BJ184" s="533"/>
      <c r="BK184" s="533"/>
      <c r="BL184" s="533"/>
      <c r="BM184" s="533"/>
    </row>
    <row r="185" spans="4:65" s="518" customFormat="1">
      <c r="D185" s="772"/>
      <c r="E185" s="772"/>
      <c r="F185" s="522"/>
      <c r="G185" s="517"/>
      <c r="H185" s="519"/>
      <c r="I185" s="533"/>
      <c r="J185" s="533"/>
      <c r="K185" s="533"/>
      <c r="L185" s="533"/>
      <c r="M185" s="533"/>
      <c r="N185" s="533"/>
      <c r="O185" s="533"/>
      <c r="P185" s="533"/>
      <c r="Q185" s="533"/>
      <c r="R185" s="533"/>
      <c r="S185" s="533"/>
      <c r="T185" s="533"/>
      <c r="U185" s="533"/>
      <c r="V185" s="533"/>
      <c r="W185" s="533"/>
      <c r="X185" s="533"/>
      <c r="Y185" s="533"/>
      <c r="Z185" s="533"/>
      <c r="AA185" s="533"/>
      <c r="AB185" s="533"/>
      <c r="AC185" s="533"/>
      <c r="AD185" s="533"/>
      <c r="AE185" s="533"/>
      <c r="AF185" s="533"/>
      <c r="AG185" s="533"/>
      <c r="AH185" s="533"/>
      <c r="AI185" s="533"/>
      <c r="AJ185" s="533"/>
      <c r="AK185" s="533"/>
      <c r="AL185" s="533"/>
      <c r="AM185" s="533"/>
      <c r="AN185" s="533"/>
      <c r="AO185" s="533"/>
      <c r="AP185" s="533"/>
      <c r="AQ185" s="533"/>
      <c r="AR185" s="533"/>
      <c r="AS185" s="533"/>
      <c r="AT185" s="533"/>
      <c r="AU185" s="533"/>
      <c r="AV185" s="533"/>
      <c r="AW185" s="533"/>
      <c r="AX185" s="533"/>
      <c r="AY185" s="533"/>
      <c r="AZ185" s="533"/>
      <c r="BA185" s="533"/>
      <c r="BB185" s="533"/>
      <c r="BC185" s="533"/>
      <c r="BD185" s="533"/>
      <c r="BE185" s="540"/>
      <c r="BF185" s="540"/>
      <c r="BG185" s="533"/>
      <c r="BH185" s="531"/>
      <c r="BI185" s="532"/>
      <c r="BJ185" s="533"/>
      <c r="BK185" s="533"/>
      <c r="BL185" s="533"/>
      <c r="BM185" s="533"/>
    </row>
    <row r="186" spans="4:65" s="518" customFormat="1">
      <c r="D186" s="772"/>
      <c r="E186" s="772"/>
      <c r="F186" s="522"/>
      <c r="G186" s="517"/>
      <c r="H186" s="519"/>
      <c r="I186" s="533"/>
      <c r="J186" s="533"/>
      <c r="K186" s="533"/>
      <c r="L186" s="533"/>
      <c r="M186" s="533"/>
      <c r="N186" s="533"/>
      <c r="O186" s="533"/>
      <c r="P186" s="533"/>
      <c r="Q186" s="533"/>
      <c r="R186" s="533"/>
      <c r="S186" s="533"/>
      <c r="T186" s="533"/>
      <c r="U186" s="533"/>
      <c r="V186" s="533"/>
      <c r="W186" s="533"/>
      <c r="X186" s="533"/>
      <c r="Y186" s="533"/>
      <c r="Z186" s="533"/>
      <c r="AA186" s="533"/>
      <c r="AB186" s="533"/>
      <c r="AC186" s="533"/>
      <c r="AD186" s="533"/>
      <c r="AE186" s="533"/>
      <c r="AF186" s="533"/>
      <c r="AG186" s="533"/>
      <c r="AH186" s="533"/>
      <c r="AI186" s="533"/>
      <c r="AJ186" s="533"/>
      <c r="AK186" s="533"/>
      <c r="AL186" s="533"/>
      <c r="AM186" s="533"/>
      <c r="AN186" s="533"/>
      <c r="AO186" s="533"/>
      <c r="AP186" s="533"/>
      <c r="AQ186" s="533"/>
      <c r="AR186" s="533"/>
      <c r="AS186" s="533"/>
      <c r="AT186" s="533"/>
      <c r="AU186" s="533"/>
      <c r="AV186" s="533"/>
      <c r="AW186" s="533"/>
      <c r="AX186" s="533"/>
      <c r="AY186" s="533"/>
      <c r="AZ186" s="533"/>
      <c r="BA186" s="533"/>
      <c r="BB186" s="533"/>
      <c r="BC186" s="533"/>
      <c r="BD186" s="533"/>
      <c r="BE186" s="540"/>
      <c r="BF186" s="540"/>
      <c r="BG186" s="533"/>
      <c r="BH186" s="531"/>
      <c r="BI186" s="532"/>
      <c r="BJ186" s="533"/>
      <c r="BK186" s="533"/>
      <c r="BL186" s="533"/>
      <c r="BM186" s="533"/>
    </row>
    <row r="187" spans="4:65" s="518" customFormat="1">
      <c r="D187" s="772"/>
      <c r="E187" s="772"/>
      <c r="F187" s="522"/>
      <c r="G187" s="517"/>
      <c r="H187" s="519"/>
      <c r="I187" s="533"/>
      <c r="J187" s="533"/>
      <c r="K187" s="533"/>
      <c r="L187" s="533"/>
      <c r="M187" s="533"/>
      <c r="N187" s="533"/>
      <c r="O187" s="533"/>
      <c r="P187" s="533"/>
      <c r="Q187" s="533"/>
      <c r="R187" s="533"/>
      <c r="S187" s="533"/>
      <c r="T187" s="533"/>
      <c r="U187" s="533"/>
      <c r="V187" s="533"/>
      <c r="W187" s="533"/>
      <c r="X187" s="533"/>
      <c r="Y187" s="533"/>
      <c r="Z187" s="533"/>
      <c r="AA187" s="533"/>
      <c r="AB187" s="533"/>
      <c r="AC187" s="533"/>
      <c r="AD187" s="533"/>
      <c r="AE187" s="533"/>
      <c r="AF187" s="533"/>
      <c r="AG187" s="533"/>
      <c r="AH187" s="533"/>
      <c r="AI187" s="533"/>
      <c r="AJ187" s="533"/>
      <c r="AK187" s="533"/>
      <c r="AL187" s="533"/>
      <c r="AM187" s="533"/>
      <c r="AN187" s="533"/>
      <c r="AO187" s="533"/>
      <c r="AP187" s="533"/>
      <c r="AQ187" s="533"/>
      <c r="AR187" s="533"/>
      <c r="AS187" s="533"/>
      <c r="AT187" s="533"/>
      <c r="AU187" s="533"/>
      <c r="AV187" s="533"/>
      <c r="AW187" s="533"/>
      <c r="AX187" s="533"/>
      <c r="AY187" s="533"/>
      <c r="AZ187" s="533"/>
      <c r="BA187" s="533"/>
      <c r="BB187" s="533"/>
      <c r="BC187" s="533"/>
      <c r="BD187" s="533"/>
      <c r="BE187" s="540"/>
      <c r="BF187" s="540"/>
      <c r="BG187" s="533"/>
      <c r="BH187" s="531"/>
      <c r="BI187" s="532"/>
      <c r="BJ187" s="533"/>
      <c r="BK187" s="533"/>
      <c r="BL187" s="533"/>
      <c r="BM187" s="533"/>
    </row>
    <row r="188" spans="4:65" s="518" customFormat="1">
      <c r="D188" s="772"/>
      <c r="E188" s="772"/>
      <c r="F188" s="522"/>
      <c r="G188" s="517"/>
      <c r="H188" s="519"/>
      <c r="I188" s="533"/>
      <c r="J188" s="533"/>
      <c r="K188" s="533"/>
      <c r="L188" s="533"/>
      <c r="M188" s="533"/>
      <c r="N188" s="533"/>
      <c r="O188" s="533"/>
      <c r="P188" s="533"/>
      <c r="Q188" s="533"/>
      <c r="R188" s="533"/>
      <c r="S188" s="533"/>
      <c r="T188" s="533"/>
      <c r="U188" s="533"/>
      <c r="V188" s="533"/>
      <c r="W188" s="533"/>
      <c r="X188" s="533"/>
      <c r="Y188" s="533"/>
      <c r="Z188" s="533"/>
      <c r="AA188" s="533"/>
      <c r="AB188" s="533"/>
      <c r="AC188" s="533"/>
      <c r="AD188" s="533"/>
      <c r="AE188" s="533"/>
      <c r="AF188" s="533"/>
      <c r="AG188" s="533"/>
      <c r="AH188" s="533"/>
      <c r="AI188" s="533"/>
      <c r="AJ188" s="533"/>
      <c r="AK188" s="533"/>
      <c r="AL188" s="533"/>
      <c r="AM188" s="533"/>
      <c r="AN188" s="533"/>
      <c r="AO188" s="533"/>
      <c r="AP188" s="533"/>
      <c r="AQ188" s="533"/>
      <c r="AR188" s="533"/>
      <c r="AS188" s="533"/>
      <c r="AT188" s="533"/>
      <c r="AU188" s="533"/>
      <c r="AV188" s="533"/>
      <c r="AW188" s="533"/>
      <c r="AX188" s="533"/>
      <c r="AY188" s="533"/>
      <c r="AZ188" s="533"/>
      <c r="BA188" s="533"/>
      <c r="BB188" s="533"/>
      <c r="BC188" s="533"/>
      <c r="BD188" s="533"/>
      <c r="BE188" s="540"/>
      <c r="BF188" s="540"/>
      <c r="BG188" s="533"/>
      <c r="BH188" s="531"/>
      <c r="BI188" s="532"/>
      <c r="BJ188" s="533"/>
      <c r="BK188" s="533"/>
      <c r="BL188" s="533"/>
      <c r="BM188" s="533"/>
    </row>
    <row r="189" spans="4:65" s="518" customFormat="1">
      <c r="D189" s="772"/>
      <c r="E189" s="772"/>
      <c r="F189" s="522"/>
      <c r="G189" s="517"/>
      <c r="H189" s="519"/>
      <c r="I189" s="533"/>
      <c r="J189" s="533"/>
      <c r="K189" s="533"/>
      <c r="L189" s="533"/>
      <c r="M189" s="533"/>
      <c r="N189" s="533"/>
      <c r="O189" s="533"/>
      <c r="P189" s="533"/>
      <c r="Q189" s="533"/>
      <c r="R189" s="533"/>
      <c r="S189" s="533"/>
      <c r="T189" s="533"/>
      <c r="U189" s="533"/>
      <c r="V189" s="533"/>
      <c r="W189" s="533"/>
      <c r="X189" s="533"/>
      <c r="Y189" s="533"/>
      <c r="Z189" s="533"/>
      <c r="AA189" s="533"/>
      <c r="AB189" s="533"/>
      <c r="AC189" s="533"/>
      <c r="AD189" s="533"/>
      <c r="AE189" s="533"/>
      <c r="AF189" s="533"/>
      <c r="AG189" s="533"/>
      <c r="AH189" s="533"/>
      <c r="AI189" s="533"/>
      <c r="AJ189" s="533"/>
      <c r="AK189" s="533"/>
      <c r="AL189" s="533"/>
      <c r="AM189" s="533"/>
      <c r="AN189" s="533"/>
      <c r="AO189" s="533"/>
      <c r="AP189" s="533"/>
      <c r="AQ189" s="533"/>
      <c r="AR189" s="533"/>
      <c r="AS189" s="533"/>
      <c r="AT189" s="533"/>
      <c r="AU189" s="533"/>
      <c r="AV189" s="533"/>
      <c r="AW189" s="533"/>
      <c r="AX189" s="533"/>
      <c r="AY189" s="533"/>
      <c r="AZ189" s="533"/>
      <c r="BA189" s="533"/>
      <c r="BB189" s="533"/>
      <c r="BC189" s="533"/>
      <c r="BD189" s="533"/>
      <c r="BE189" s="540"/>
      <c r="BF189" s="540"/>
      <c r="BG189" s="533"/>
      <c r="BH189" s="531"/>
      <c r="BI189" s="532"/>
      <c r="BJ189" s="533"/>
      <c r="BK189" s="533"/>
      <c r="BL189" s="533"/>
      <c r="BM189" s="533"/>
    </row>
    <row r="190" spans="4:65" s="518" customFormat="1">
      <c r="D190" s="772"/>
      <c r="E190" s="772"/>
      <c r="F190" s="522"/>
      <c r="G190" s="517"/>
      <c r="H190" s="519"/>
      <c r="I190" s="533"/>
      <c r="J190" s="533"/>
      <c r="K190" s="533"/>
      <c r="L190" s="533"/>
      <c r="M190" s="533"/>
      <c r="N190" s="533"/>
      <c r="O190" s="533"/>
      <c r="P190" s="533"/>
      <c r="Q190" s="533"/>
      <c r="R190" s="533"/>
      <c r="S190" s="533"/>
      <c r="T190" s="533"/>
      <c r="U190" s="533"/>
      <c r="V190" s="533"/>
      <c r="W190" s="533"/>
      <c r="X190" s="533"/>
      <c r="Y190" s="533"/>
      <c r="Z190" s="533"/>
      <c r="AA190" s="533"/>
      <c r="AB190" s="533"/>
      <c r="AC190" s="533"/>
      <c r="AD190" s="533"/>
      <c r="AE190" s="533"/>
      <c r="AF190" s="533"/>
      <c r="AG190" s="533"/>
      <c r="AH190" s="533"/>
      <c r="AI190" s="533"/>
      <c r="AJ190" s="533"/>
      <c r="AK190" s="533"/>
      <c r="AL190" s="533"/>
      <c r="AM190" s="533"/>
      <c r="AN190" s="533"/>
      <c r="AO190" s="533"/>
      <c r="AP190" s="533"/>
      <c r="AQ190" s="533"/>
      <c r="AR190" s="533"/>
      <c r="AS190" s="533"/>
      <c r="AT190" s="533"/>
      <c r="AU190" s="533"/>
      <c r="AV190" s="533"/>
      <c r="AW190" s="533"/>
      <c r="AX190" s="533"/>
      <c r="AY190" s="533"/>
      <c r="AZ190" s="533"/>
      <c r="BA190" s="533"/>
      <c r="BB190" s="533"/>
      <c r="BC190" s="533"/>
      <c r="BD190" s="533"/>
      <c r="BE190" s="540"/>
      <c r="BF190" s="540"/>
      <c r="BG190" s="533"/>
      <c r="BH190" s="531"/>
      <c r="BI190" s="532"/>
      <c r="BJ190" s="533"/>
      <c r="BK190" s="533"/>
      <c r="BL190" s="533"/>
      <c r="BM190" s="533"/>
    </row>
    <row r="191" spans="4:65" s="518" customFormat="1">
      <c r="D191" s="772"/>
      <c r="E191" s="772"/>
      <c r="F191" s="522"/>
      <c r="G191" s="517"/>
      <c r="H191" s="519"/>
      <c r="I191" s="533"/>
      <c r="J191" s="533"/>
      <c r="K191" s="533"/>
      <c r="L191" s="533"/>
      <c r="M191" s="533"/>
      <c r="N191" s="533"/>
      <c r="O191" s="533"/>
      <c r="P191" s="533"/>
      <c r="Q191" s="533"/>
      <c r="R191" s="533"/>
      <c r="S191" s="533"/>
      <c r="T191" s="533"/>
      <c r="U191" s="533"/>
      <c r="V191" s="533"/>
      <c r="W191" s="533"/>
      <c r="X191" s="533"/>
      <c r="Y191" s="533"/>
      <c r="Z191" s="533"/>
      <c r="AA191" s="533"/>
      <c r="AB191" s="533"/>
      <c r="AC191" s="533"/>
      <c r="AD191" s="533"/>
      <c r="AE191" s="533"/>
      <c r="AF191" s="533"/>
      <c r="AG191" s="533"/>
      <c r="AH191" s="533"/>
      <c r="AI191" s="533"/>
      <c r="AJ191" s="533"/>
      <c r="AK191" s="533"/>
      <c r="AL191" s="533"/>
      <c r="AM191" s="533"/>
      <c r="AN191" s="533"/>
      <c r="AO191" s="533"/>
      <c r="AP191" s="533"/>
      <c r="AQ191" s="533"/>
      <c r="AR191" s="533"/>
      <c r="AS191" s="533"/>
      <c r="AT191" s="533"/>
      <c r="AU191" s="533"/>
      <c r="AV191" s="533"/>
      <c r="AW191" s="533"/>
      <c r="AX191" s="533"/>
      <c r="AY191" s="533"/>
      <c r="AZ191" s="533"/>
      <c r="BA191" s="533"/>
      <c r="BB191" s="533"/>
      <c r="BC191" s="533"/>
      <c r="BD191" s="533"/>
      <c r="BE191" s="540"/>
      <c r="BF191" s="540"/>
      <c r="BG191" s="533"/>
      <c r="BH191" s="531"/>
      <c r="BI191" s="532"/>
      <c r="BJ191" s="533"/>
      <c r="BK191" s="533"/>
      <c r="BL191" s="533"/>
      <c r="BM191" s="533"/>
    </row>
    <row r="192" spans="4:65" s="518" customFormat="1">
      <c r="D192" s="772"/>
      <c r="E192" s="772"/>
      <c r="F192" s="522"/>
      <c r="G192" s="517"/>
      <c r="H192" s="519"/>
      <c r="I192" s="533"/>
      <c r="J192" s="533"/>
      <c r="K192" s="533"/>
      <c r="L192" s="533"/>
      <c r="M192" s="533"/>
      <c r="N192" s="533"/>
      <c r="O192" s="533"/>
      <c r="P192" s="533"/>
      <c r="Q192" s="533"/>
      <c r="R192" s="533"/>
      <c r="S192" s="533"/>
      <c r="T192" s="533"/>
      <c r="U192" s="533"/>
      <c r="V192" s="533"/>
      <c r="W192" s="533"/>
      <c r="X192" s="533"/>
      <c r="Y192" s="533"/>
      <c r="Z192" s="533"/>
      <c r="AA192" s="533"/>
      <c r="AB192" s="533"/>
      <c r="AC192" s="533"/>
      <c r="AD192" s="533"/>
      <c r="AE192" s="533"/>
      <c r="AF192" s="533"/>
      <c r="AG192" s="533"/>
      <c r="AH192" s="533"/>
      <c r="AI192" s="533"/>
      <c r="AJ192" s="533"/>
      <c r="AK192" s="533"/>
      <c r="AL192" s="533"/>
      <c r="AM192" s="533"/>
      <c r="AN192" s="533"/>
      <c r="AO192" s="533"/>
      <c r="AP192" s="533"/>
      <c r="AQ192" s="533"/>
      <c r="AR192" s="533"/>
      <c r="AS192" s="533"/>
      <c r="AT192" s="533"/>
      <c r="AU192" s="533"/>
      <c r="AV192" s="533"/>
      <c r="AW192" s="533"/>
      <c r="AX192" s="533"/>
      <c r="AY192" s="533"/>
      <c r="AZ192" s="533"/>
      <c r="BA192" s="533"/>
      <c r="BB192" s="533"/>
      <c r="BC192" s="533"/>
      <c r="BD192" s="533"/>
      <c r="BE192" s="540"/>
      <c r="BF192" s="540"/>
      <c r="BG192" s="533"/>
      <c r="BH192" s="531"/>
      <c r="BI192" s="532"/>
      <c r="BJ192" s="533"/>
      <c r="BK192" s="533"/>
      <c r="BL192" s="533"/>
      <c r="BM192" s="533"/>
    </row>
    <row r="193" spans="4:65" s="518" customFormat="1">
      <c r="D193" s="772"/>
      <c r="E193" s="772"/>
      <c r="F193" s="522"/>
      <c r="G193" s="517"/>
      <c r="H193" s="519"/>
      <c r="I193" s="533"/>
      <c r="J193" s="533"/>
      <c r="K193" s="533"/>
      <c r="L193" s="533"/>
      <c r="M193" s="533"/>
      <c r="N193" s="533"/>
      <c r="O193" s="533"/>
      <c r="P193" s="533"/>
      <c r="Q193" s="533"/>
      <c r="R193" s="533"/>
      <c r="S193" s="533"/>
      <c r="T193" s="533"/>
      <c r="U193" s="533"/>
      <c r="V193" s="533"/>
      <c r="W193" s="533"/>
      <c r="X193" s="533"/>
      <c r="Y193" s="533"/>
      <c r="Z193" s="533"/>
      <c r="AA193" s="533"/>
      <c r="AB193" s="533"/>
      <c r="AC193" s="533"/>
      <c r="AD193" s="533"/>
      <c r="AE193" s="533"/>
      <c r="AF193" s="533"/>
      <c r="AG193" s="533"/>
      <c r="AH193" s="533"/>
      <c r="AI193" s="533"/>
      <c r="AJ193" s="533"/>
      <c r="AK193" s="533"/>
      <c r="AL193" s="533"/>
      <c r="AM193" s="533"/>
      <c r="AN193" s="533"/>
      <c r="AO193" s="533"/>
      <c r="AP193" s="533"/>
      <c r="AQ193" s="533"/>
      <c r="AR193" s="533"/>
      <c r="AS193" s="533"/>
      <c r="AT193" s="533"/>
      <c r="AU193" s="533"/>
      <c r="AV193" s="533"/>
      <c r="AW193" s="533"/>
      <c r="AX193" s="533"/>
      <c r="AY193" s="533"/>
      <c r="AZ193" s="533"/>
      <c r="BA193" s="533"/>
      <c r="BB193" s="533"/>
      <c r="BC193" s="533"/>
      <c r="BD193" s="533"/>
      <c r="BE193" s="540"/>
      <c r="BF193" s="540"/>
      <c r="BG193" s="533"/>
      <c r="BH193" s="531"/>
      <c r="BI193" s="532"/>
      <c r="BJ193" s="533"/>
      <c r="BK193" s="533"/>
      <c r="BL193" s="533"/>
      <c r="BM193" s="533"/>
    </row>
    <row r="194" spans="4:65" s="518" customFormat="1">
      <c r="D194" s="772"/>
      <c r="E194" s="772"/>
      <c r="F194" s="522"/>
      <c r="G194" s="517"/>
      <c r="H194" s="519"/>
      <c r="I194" s="533"/>
      <c r="J194" s="533"/>
      <c r="K194" s="533"/>
      <c r="L194" s="533"/>
      <c r="M194" s="533"/>
      <c r="N194" s="533"/>
      <c r="O194" s="533"/>
      <c r="P194" s="533"/>
      <c r="Q194" s="533"/>
      <c r="R194" s="533"/>
      <c r="S194" s="533"/>
      <c r="T194" s="533"/>
      <c r="U194" s="533"/>
      <c r="V194" s="533"/>
      <c r="W194" s="533"/>
      <c r="X194" s="533"/>
      <c r="Y194" s="533"/>
      <c r="Z194" s="533"/>
      <c r="AA194" s="533"/>
      <c r="AB194" s="533"/>
      <c r="AC194" s="533"/>
      <c r="AD194" s="533"/>
      <c r="AE194" s="533"/>
      <c r="AF194" s="533"/>
      <c r="AG194" s="533"/>
      <c r="AH194" s="533"/>
      <c r="AI194" s="533"/>
      <c r="AJ194" s="533"/>
      <c r="AK194" s="533"/>
      <c r="AL194" s="533"/>
      <c r="AM194" s="533"/>
      <c r="AN194" s="533"/>
      <c r="AO194" s="533"/>
      <c r="AP194" s="533"/>
      <c r="AQ194" s="533"/>
      <c r="AR194" s="533"/>
      <c r="AS194" s="533"/>
      <c r="AT194" s="533"/>
      <c r="AU194" s="533"/>
      <c r="AV194" s="533"/>
      <c r="AW194" s="533"/>
      <c r="AX194" s="533"/>
      <c r="AY194" s="533"/>
      <c r="AZ194" s="533"/>
      <c r="BA194" s="533"/>
      <c r="BB194" s="533"/>
      <c r="BC194" s="533"/>
      <c r="BD194" s="533"/>
      <c r="BE194" s="540"/>
      <c r="BF194" s="540"/>
      <c r="BG194" s="533"/>
      <c r="BH194" s="531"/>
      <c r="BI194" s="532"/>
      <c r="BJ194" s="533"/>
      <c r="BK194" s="533"/>
      <c r="BL194" s="533"/>
      <c r="BM194" s="533"/>
    </row>
    <row r="195" spans="4:65" s="518" customFormat="1">
      <c r="D195" s="772"/>
      <c r="E195" s="772"/>
      <c r="F195" s="522"/>
      <c r="G195" s="517"/>
      <c r="H195" s="519"/>
      <c r="I195" s="533"/>
      <c r="J195" s="533"/>
      <c r="K195" s="533"/>
      <c r="L195" s="533"/>
      <c r="M195" s="533"/>
      <c r="N195" s="533"/>
      <c r="O195" s="533"/>
      <c r="P195" s="533"/>
      <c r="Q195" s="533"/>
      <c r="R195" s="533"/>
      <c r="S195" s="533"/>
      <c r="T195" s="533"/>
      <c r="U195" s="533"/>
      <c r="V195" s="533"/>
      <c r="W195" s="533"/>
      <c r="X195" s="533"/>
      <c r="Y195" s="533"/>
      <c r="Z195" s="533"/>
      <c r="AA195" s="533"/>
      <c r="AB195" s="533"/>
      <c r="AC195" s="533"/>
      <c r="AD195" s="533"/>
      <c r="AE195" s="533"/>
      <c r="AF195" s="533"/>
      <c r="AG195" s="533"/>
      <c r="AH195" s="533"/>
      <c r="AI195" s="533"/>
      <c r="AJ195" s="533"/>
      <c r="AK195" s="533"/>
      <c r="AL195" s="533"/>
      <c r="AM195" s="533"/>
      <c r="AN195" s="533"/>
      <c r="AO195" s="533"/>
      <c r="AP195" s="533"/>
      <c r="AQ195" s="533"/>
      <c r="AR195" s="533"/>
      <c r="AS195" s="533"/>
      <c r="AT195" s="533"/>
      <c r="AU195" s="533"/>
      <c r="AV195" s="533"/>
      <c r="AW195" s="533"/>
      <c r="AX195" s="533"/>
      <c r="AY195" s="533"/>
      <c r="AZ195" s="533"/>
      <c r="BA195" s="533"/>
      <c r="BB195" s="533"/>
      <c r="BC195" s="533"/>
      <c r="BD195" s="533"/>
      <c r="BE195" s="540"/>
      <c r="BF195" s="540"/>
      <c r="BG195" s="533"/>
      <c r="BH195" s="531"/>
      <c r="BI195" s="532"/>
      <c r="BJ195" s="533"/>
      <c r="BK195" s="533"/>
      <c r="BL195" s="533"/>
      <c r="BM195" s="533"/>
    </row>
    <row r="196" spans="4:65" s="518" customFormat="1">
      <c r="D196" s="772"/>
      <c r="E196" s="772"/>
      <c r="F196" s="522"/>
      <c r="G196" s="517"/>
      <c r="H196" s="519"/>
      <c r="I196" s="533"/>
      <c r="J196" s="533"/>
      <c r="K196" s="533"/>
      <c r="L196" s="533"/>
      <c r="M196" s="533"/>
      <c r="N196" s="533"/>
      <c r="O196" s="533"/>
      <c r="P196" s="533"/>
      <c r="Q196" s="533"/>
      <c r="R196" s="533"/>
      <c r="S196" s="533"/>
      <c r="T196" s="533"/>
      <c r="U196" s="533"/>
      <c r="V196" s="533"/>
      <c r="W196" s="533"/>
      <c r="X196" s="533"/>
      <c r="Y196" s="533"/>
      <c r="Z196" s="533"/>
      <c r="AA196" s="533"/>
      <c r="AB196" s="533"/>
      <c r="AC196" s="533"/>
      <c r="AD196" s="533"/>
      <c r="AE196" s="533"/>
      <c r="AF196" s="533"/>
      <c r="AG196" s="533"/>
      <c r="AH196" s="533"/>
      <c r="AI196" s="533"/>
      <c r="AJ196" s="533"/>
      <c r="AK196" s="533"/>
      <c r="AL196" s="533"/>
      <c r="AM196" s="533"/>
      <c r="AN196" s="533"/>
      <c r="AO196" s="533"/>
      <c r="AP196" s="533"/>
      <c r="AQ196" s="533"/>
      <c r="AR196" s="533"/>
      <c r="AS196" s="533"/>
      <c r="AT196" s="533"/>
      <c r="AU196" s="533"/>
      <c r="AV196" s="533"/>
      <c r="AW196" s="533"/>
      <c r="AX196" s="533"/>
      <c r="AY196" s="533"/>
      <c r="AZ196" s="533"/>
      <c r="BA196" s="533"/>
      <c r="BB196" s="533"/>
      <c r="BC196" s="533"/>
      <c r="BD196" s="533"/>
      <c r="BE196" s="540"/>
      <c r="BF196" s="540"/>
      <c r="BG196" s="533"/>
      <c r="BH196" s="531"/>
      <c r="BI196" s="532"/>
      <c r="BJ196" s="533"/>
      <c r="BK196" s="533"/>
      <c r="BL196" s="533"/>
      <c r="BM196" s="533"/>
    </row>
    <row r="197" spans="4:65" s="518" customFormat="1">
      <c r="D197" s="772"/>
      <c r="E197" s="772"/>
      <c r="F197" s="522"/>
      <c r="G197" s="517"/>
      <c r="H197" s="519"/>
      <c r="I197" s="533"/>
      <c r="J197" s="533"/>
      <c r="K197" s="533"/>
      <c r="L197" s="533"/>
      <c r="M197" s="533"/>
      <c r="N197" s="533"/>
      <c r="O197" s="533"/>
      <c r="P197" s="533"/>
      <c r="Q197" s="533"/>
      <c r="R197" s="533"/>
      <c r="S197" s="533"/>
      <c r="T197" s="533"/>
      <c r="U197" s="533"/>
      <c r="V197" s="533"/>
      <c r="W197" s="533"/>
      <c r="X197" s="533"/>
      <c r="Y197" s="533"/>
      <c r="Z197" s="533"/>
      <c r="AA197" s="533"/>
      <c r="AB197" s="533"/>
      <c r="AC197" s="533"/>
      <c r="AD197" s="533"/>
      <c r="AE197" s="533"/>
      <c r="AF197" s="533"/>
      <c r="AG197" s="533"/>
      <c r="AH197" s="533"/>
      <c r="AI197" s="533"/>
      <c r="AJ197" s="533"/>
      <c r="AK197" s="533"/>
      <c r="AL197" s="533"/>
      <c r="AM197" s="533"/>
      <c r="AN197" s="533"/>
      <c r="AO197" s="533"/>
      <c r="AP197" s="533"/>
      <c r="AQ197" s="533"/>
      <c r="AR197" s="533"/>
      <c r="AS197" s="533"/>
      <c r="AT197" s="533"/>
      <c r="AU197" s="533"/>
      <c r="AV197" s="533"/>
      <c r="AW197" s="533"/>
      <c r="AX197" s="533"/>
      <c r="AY197" s="533"/>
      <c r="AZ197" s="533"/>
      <c r="BA197" s="533"/>
      <c r="BB197" s="533"/>
      <c r="BC197" s="533"/>
      <c r="BD197" s="533"/>
      <c r="BE197" s="540"/>
      <c r="BF197" s="540"/>
      <c r="BG197" s="533"/>
      <c r="BH197" s="531"/>
      <c r="BI197" s="532"/>
      <c r="BJ197" s="533"/>
      <c r="BK197" s="533"/>
      <c r="BL197" s="533"/>
      <c r="BM197" s="533"/>
    </row>
    <row r="198" spans="4:65" s="518" customFormat="1">
      <c r="D198" s="772"/>
      <c r="E198" s="772"/>
      <c r="F198" s="522"/>
      <c r="G198" s="517"/>
      <c r="H198" s="519"/>
      <c r="I198" s="533"/>
      <c r="J198" s="533"/>
      <c r="K198" s="533"/>
      <c r="L198" s="533"/>
      <c r="M198" s="533"/>
      <c r="N198" s="533"/>
      <c r="O198" s="533"/>
      <c r="P198" s="533"/>
      <c r="Q198" s="533"/>
      <c r="R198" s="533"/>
      <c r="S198" s="533"/>
      <c r="T198" s="533"/>
      <c r="U198" s="533"/>
      <c r="V198" s="533"/>
      <c r="W198" s="533"/>
      <c r="X198" s="533"/>
      <c r="Y198" s="533"/>
      <c r="Z198" s="533"/>
      <c r="AA198" s="533"/>
      <c r="AB198" s="533"/>
      <c r="AC198" s="533"/>
      <c r="AD198" s="533"/>
      <c r="AE198" s="533"/>
      <c r="AF198" s="533"/>
      <c r="AG198" s="533"/>
      <c r="AH198" s="533"/>
      <c r="AI198" s="533"/>
      <c r="AJ198" s="533"/>
      <c r="AK198" s="533"/>
      <c r="AL198" s="533"/>
      <c r="AM198" s="533"/>
      <c r="AN198" s="533"/>
      <c r="AO198" s="533"/>
      <c r="AP198" s="533"/>
      <c r="AQ198" s="533"/>
      <c r="AR198" s="533"/>
      <c r="AS198" s="533"/>
      <c r="AT198" s="533"/>
      <c r="AU198" s="533"/>
      <c r="AV198" s="533"/>
      <c r="AW198" s="533"/>
      <c r="AX198" s="533"/>
      <c r="AY198" s="533"/>
      <c r="AZ198" s="533"/>
      <c r="BA198" s="533"/>
      <c r="BB198" s="533"/>
      <c r="BC198" s="533"/>
      <c r="BD198" s="533"/>
      <c r="BE198" s="540"/>
      <c r="BF198" s="540"/>
      <c r="BG198" s="533"/>
      <c r="BH198" s="531"/>
      <c r="BI198" s="532"/>
      <c r="BJ198" s="533"/>
      <c r="BK198" s="533"/>
      <c r="BL198" s="533"/>
      <c r="BM198" s="533"/>
    </row>
    <row r="199" spans="4:65" s="518" customFormat="1">
      <c r="D199" s="772"/>
      <c r="E199" s="772"/>
      <c r="F199" s="522"/>
      <c r="G199" s="517"/>
      <c r="H199" s="519"/>
      <c r="I199" s="533"/>
      <c r="J199" s="533"/>
      <c r="K199" s="533"/>
      <c r="L199" s="533"/>
      <c r="M199" s="533"/>
      <c r="N199" s="533"/>
      <c r="O199" s="533"/>
      <c r="P199" s="533"/>
      <c r="Q199" s="533"/>
      <c r="R199" s="533"/>
      <c r="S199" s="533"/>
      <c r="T199" s="533"/>
      <c r="U199" s="533"/>
      <c r="V199" s="533"/>
      <c r="W199" s="533"/>
      <c r="X199" s="533"/>
      <c r="Y199" s="533"/>
      <c r="Z199" s="533"/>
      <c r="AA199" s="533"/>
      <c r="AB199" s="533"/>
      <c r="AC199" s="533"/>
      <c r="AD199" s="533"/>
      <c r="AE199" s="533"/>
      <c r="AF199" s="533"/>
      <c r="AG199" s="533"/>
      <c r="AH199" s="533"/>
      <c r="AI199" s="533"/>
      <c r="AJ199" s="533"/>
      <c r="AK199" s="533"/>
      <c r="AL199" s="533"/>
      <c r="AM199" s="533"/>
      <c r="AN199" s="533"/>
      <c r="AO199" s="533"/>
      <c r="AP199" s="533"/>
      <c r="AQ199" s="533"/>
      <c r="AR199" s="533"/>
      <c r="AS199" s="533"/>
      <c r="AT199" s="533"/>
      <c r="AU199" s="533"/>
      <c r="AV199" s="533"/>
      <c r="AW199" s="533"/>
      <c r="AX199" s="533"/>
      <c r="AY199" s="533"/>
      <c r="AZ199" s="533"/>
      <c r="BA199" s="533"/>
      <c r="BB199" s="533"/>
      <c r="BC199" s="533"/>
      <c r="BD199" s="533"/>
      <c r="BE199" s="540"/>
      <c r="BF199" s="540"/>
      <c r="BG199" s="533"/>
      <c r="BH199" s="531"/>
      <c r="BI199" s="532"/>
      <c r="BJ199" s="533"/>
      <c r="BK199" s="533"/>
      <c r="BL199" s="533"/>
      <c r="BM199" s="533"/>
    </row>
    <row r="200" spans="4:65" s="518" customFormat="1">
      <c r="D200" s="772"/>
      <c r="E200" s="772"/>
      <c r="F200" s="522"/>
      <c r="G200" s="517"/>
      <c r="H200" s="519"/>
      <c r="I200" s="533"/>
      <c r="J200" s="533"/>
      <c r="K200" s="533"/>
      <c r="L200" s="533"/>
      <c r="M200" s="533"/>
      <c r="N200" s="533"/>
      <c r="O200" s="533"/>
      <c r="P200" s="533"/>
      <c r="Q200" s="533"/>
      <c r="R200" s="533"/>
      <c r="S200" s="533"/>
      <c r="T200" s="533"/>
      <c r="U200" s="533"/>
      <c r="V200" s="533"/>
      <c r="W200" s="533"/>
      <c r="X200" s="533"/>
      <c r="Y200" s="533"/>
      <c r="Z200" s="533"/>
      <c r="AA200" s="533"/>
      <c r="AB200" s="533"/>
      <c r="AC200" s="533"/>
      <c r="AD200" s="533"/>
      <c r="AE200" s="533"/>
      <c r="AF200" s="533"/>
      <c r="AG200" s="533"/>
      <c r="AH200" s="533"/>
      <c r="AI200" s="533"/>
      <c r="AJ200" s="533"/>
      <c r="AK200" s="533"/>
      <c r="AL200" s="533"/>
      <c r="AM200" s="533"/>
      <c r="AN200" s="533"/>
      <c r="AO200" s="533"/>
      <c r="AP200" s="533"/>
      <c r="AQ200" s="533"/>
      <c r="AR200" s="533"/>
      <c r="AS200" s="533"/>
      <c r="AT200" s="533"/>
      <c r="AU200" s="533"/>
      <c r="AV200" s="533"/>
      <c r="AW200" s="533"/>
      <c r="AX200" s="533"/>
      <c r="AY200" s="533"/>
      <c r="AZ200" s="533"/>
      <c r="BA200" s="533"/>
      <c r="BB200" s="533"/>
      <c r="BC200" s="533"/>
      <c r="BD200" s="533"/>
      <c r="BE200" s="540"/>
      <c r="BF200" s="540"/>
      <c r="BG200" s="533"/>
      <c r="BH200" s="531"/>
      <c r="BI200" s="532"/>
      <c r="BJ200" s="533"/>
      <c r="BK200" s="533"/>
      <c r="BL200" s="533"/>
      <c r="BM200" s="533"/>
    </row>
    <row r="201" spans="4:65" s="518" customFormat="1">
      <c r="D201" s="772"/>
      <c r="E201" s="772"/>
      <c r="F201" s="522"/>
      <c r="G201" s="517"/>
      <c r="H201" s="519"/>
      <c r="I201" s="533"/>
      <c r="J201" s="533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  <c r="U201" s="533"/>
      <c r="V201" s="533"/>
      <c r="W201" s="533"/>
      <c r="X201" s="533"/>
      <c r="Y201" s="533"/>
      <c r="Z201" s="533"/>
      <c r="AA201" s="533"/>
      <c r="AB201" s="533"/>
      <c r="AC201" s="533"/>
      <c r="AD201" s="533"/>
      <c r="AE201" s="533"/>
      <c r="AF201" s="533"/>
      <c r="AG201" s="533"/>
      <c r="AH201" s="533"/>
      <c r="AI201" s="533"/>
      <c r="AJ201" s="533"/>
      <c r="AK201" s="533"/>
      <c r="AL201" s="533"/>
      <c r="AM201" s="533"/>
      <c r="AN201" s="533"/>
      <c r="AO201" s="533"/>
      <c r="AP201" s="533"/>
      <c r="AQ201" s="533"/>
      <c r="AR201" s="533"/>
      <c r="AS201" s="533"/>
      <c r="AT201" s="533"/>
      <c r="AU201" s="533"/>
      <c r="AV201" s="533"/>
      <c r="AW201" s="533"/>
      <c r="AX201" s="533"/>
      <c r="AY201" s="533"/>
      <c r="AZ201" s="533"/>
      <c r="BA201" s="533"/>
      <c r="BB201" s="533"/>
      <c r="BC201" s="533"/>
      <c r="BD201" s="533"/>
      <c r="BE201" s="540"/>
      <c r="BF201" s="540"/>
      <c r="BG201" s="533"/>
      <c r="BH201" s="531"/>
      <c r="BI201" s="532"/>
      <c r="BJ201" s="533"/>
      <c r="BK201" s="533"/>
      <c r="BL201" s="533"/>
      <c r="BM201" s="533"/>
    </row>
    <row r="202" spans="4:65" s="518" customFormat="1">
      <c r="D202" s="772"/>
      <c r="E202" s="772"/>
      <c r="F202" s="522"/>
      <c r="G202" s="517"/>
      <c r="H202" s="519"/>
      <c r="I202" s="533"/>
      <c r="J202" s="533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  <c r="AA202" s="533"/>
      <c r="AB202" s="533"/>
      <c r="AC202" s="533"/>
      <c r="AD202" s="533"/>
      <c r="AE202" s="533"/>
      <c r="AF202" s="533"/>
      <c r="AG202" s="533"/>
      <c r="AH202" s="533"/>
      <c r="AI202" s="533"/>
      <c r="AJ202" s="533"/>
      <c r="AK202" s="533"/>
      <c r="AL202" s="533"/>
      <c r="AM202" s="533"/>
      <c r="AN202" s="533"/>
      <c r="AO202" s="533"/>
      <c r="AP202" s="533"/>
      <c r="AQ202" s="533"/>
      <c r="AR202" s="533"/>
      <c r="AS202" s="533"/>
      <c r="AT202" s="533"/>
      <c r="AU202" s="533"/>
      <c r="AV202" s="533"/>
      <c r="AW202" s="533"/>
      <c r="AX202" s="533"/>
      <c r="AY202" s="533"/>
      <c r="AZ202" s="533"/>
      <c r="BA202" s="533"/>
      <c r="BB202" s="533"/>
      <c r="BC202" s="533"/>
      <c r="BD202" s="533"/>
      <c r="BE202" s="540"/>
      <c r="BF202" s="540"/>
      <c r="BG202" s="533"/>
      <c r="BH202" s="531"/>
      <c r="BI202" s="532"/>
      <c r="BJ202" s="533"/>
      <c r="BK202" s="533"/>
      <c r="BL202" s="533"/>
      <c r="BM202" s="533"/>
    </row>
    <row r="203" spans="4:65" s="518" customFormat="1">
      <c r="D203" s="772"/>
      <c r="E203" s="772"/>
      <c r="F203" s="522"/>
      <c r="G203" s="517"/>
      <c r="H203" s="519"/>
      <c r="I203" s="533"/>
      <c r="J203" s="533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  <c r="U203" s="533"/>
      <c r="V203" s="533"/>
      <c r="W203" s="533"/>
      <c r="X203" s="533"/>
      <c r="Y203" s="533"/>
      <c r="Z203" s="533"/>
      <c r="AA203" s="533"/>
      <c r="AB203" s="533"/>
      <c r="AC203" s="533"/>
      <c r="AD203" s="533"/>
      <c r="AE203" s="533"/>
      <c r="AF203" s="533"/>
      <c r="AG203" s="533"/>
      <c r="AH203" s="533"/>
      <c r="AI203" s="533"/>
      <c r="AJ203" s="533"/>
      <c r="AK203" s="533"/>
      <c r="AL203" s="533"/>
      <c r="AM203" s="533"/>
      <c r="AN203" s="533"/>
      <c r="AO203" s="533"/>
      <c r="AP203" s="533"/>
      <c r="AQ203" s="533"/>
      <c r="AR203" s="533"/>
      <c r="AS203" s="533"/>
      <c r="AT203" s="533"/>
      <c r="AU203" s="533"/>
      <c r="AV203" s="533"/>
      <c r="AW203" s="533"/>
      <c r="AX203" s="533"/>
      <c r="AY203" s="533"/>
      <c r="AZ203" s="533"/>
      <c r="BA203" s="533"/>
      <c r="BB203" s="533"/>
      <c r="BC203" s="533"/>
      <c r="BD203" s="533"/>
      <c r="BE203" s="540"/>
      <c r="BF203" s="540"/>
      <c r="BG203" s="533"/>
      <c r="BH203" s="531"/>
      <c r="BI203" s="532"/>
      <c r="BJ203" s="533"/>
      <c r="BK203" s="533"/>
      <c r="BL203" s="533"/>
      <c r="BM203" s="533"/>
    </row>
    <row r="204" spans="4:65" s="518" customFormat="1">
      <c r="D204" s="772"/>
      <c r="E204" s="772"/>
      <c r="F204" s="522"/>
      <c r="G204" s="517"/>
      <c r="H204" s="519"/>
      <c r="I204" s="533"/>
      <c r="J204" s="533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  <c r="U204" s="533"/>
      <c r="V204" s="533"/>
      <c r="W204" s="533"/>
      <c r="X204" s="533"/>
      <c r="Y204" s="533"/>
      <c r="Z204" s="533"/>
      <c r="AA204" s="533"/>
      <c r="AB204" s="533"/>
      <c r="AC204" s="533"/>
      <c r="AD204" s="533"/>
      <c r="AE204" s="533"/>
      <c r="AF204" s="533"/>
      <c r="AG204" s="533"/>
      <c r="AH204" s="533"/>
      <c r="AI204" s="533"/>
      <c r="AJ204" s="533"/>
      <c r="AK204" s="533"/>
      <c r="AL204" s="533"/>
      <c r="AM204" s="533"/>
      <c r="AN204" s="533"/>
      <c r="AO204" s="533"/>
      <c r="AP204" s="533"/>
      <c r="AQ204" s="533"/>
      <c r="AR204" s="533"/>
      <c r="AS204" s="533"/>
      <c r="AT204" s="533"/>
      <c r="AU204" s="533"/>
      <c r="AV204" s="533"/>
      <c r="AW204" s="533"/>
      <c r="AX204" s="533"/>
      <c r="AY204" s="533"/>
      <c r="AZ204" s="533"/>
      <c r="BA204" s="533"/>
      <c r="BB204" s="533"/>
      <c r="BC204" s="533"/>
      <c r="BD204" s="533"/>
      <c r="BE204" s="540"/>
      <c r="BF204" s="540"/>
      <c r="BG204" s="533"/>
      <c r="BH204" s="531"/>
      <c r="BI204" s="532"/>
      <c r="BJ204" s="533"/>
      <c r="BK204" s="533"/>
      <c r="BL204" s="533"/>
      <c r="BM204" s="533"/>
    </row>
    <row r="205" spans="4:65" s="518" customFormat="1">
      <c r="D205" s="772"/>
      <c r="E205" s="772"/>
      <c r="F205" s="522"/>
      <c r="G205" s="517"/>
      <c r="H205" s="519"/>
      <c r="I205" s="533"/>
      <c r="J205" s="533"/>
      <c r="K205" s="533"/>
      <c r="L205" s="533"/>
      <c r="M205" s="533"/>
      <c r="N205" s="533"/>
      <c r="O205" s="533"/>
      <c r="P205" s="533"/>
      <c r="Q205" s="533"/>
      <c r="R205" s="533"/>
      <c r="S205" s="533"/>
      <c r="T205" s="533"/>
      <c r="U205" s="533"/>
      <c r="V205" s="533"/>
      <c r="W205" s="533"/>
      <c r="X205" s="533"/>
      <c r="Y205" s="533"/>
      <c r="Z205" s="533"/>
      <c r="AA205" s="533"/>
      <c r="AB205" s="533"/>
      <c r="AC205" s="533"/>
      <c r="AD205" s="533"/>
      <c r="AE205" s="533"/>
      <c r="AF205" s="533"/>
      <c r="AG205" s="533"/>
      <c r="AH205" s="533"/>
      <c r="AI205" s="533"/>
      <c r="AJ205" s="533"/>
      <c r="AK205" s="533"/>
      <c r="AL205" s="533"/>
      <c r="AM205" s="533"/>
      <c r="AN205" s="533"/>
      <c r="AO205" s="533"/>
      <c r="AP205" s="533"/>
      <c r="AQ205" s="533"/>
      <c r="AR205" s="533"/>
      <c r="AS205" s="533"/>
      <c r="AT205" s="533"/>
      <c r="AU205" s="533"/>
      <c r="AV205" s="533"/>
      <c r="AW205" s="533"/>
      <c r="AX205" s="533"/>
      <c r="AY205" s="533"/>
      <c r="AZ205" s="533"/>
      <c r="BA205" s="533"/>
      <c r="BB205" s="533"/>
      <c r="BC205" s="533"/>
      <c r="BD205" s="533"/>
      <c r="BE205" s="540"/>
      <c r="BF205" s="540"/>
      <c r="BG205" s="533"/>
      <c r="BH205" s="531"/>
      <c r="BI205" s="532"/>
      <c r="BJ205" s="533"/>
      <c r="BK205" s="533"/>
      <c r="BL205" s="533"/>
      <c r="BM205" s="533"/>
    </row>
    <row r="206" spans="4:65" s="518" customFormat="1">
      <c r="D206" s="772"/>
      <c r="E206" s="772"/>
      <c r="F206" s="522"/>
      <c r="G206" s="517"/>
      <c r="H206" s="519"/>
      <c r="I206" s="533"/>
      <c r="J206" s="533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533"/>
      <c r="AK206" s="533"/>
      <c r="AL206" s="533"/>
      <c r="AM206" s="533"/>
      <c r="AN206" s="533"/>
      <c r="AO206" s="533"/>
      <c r="AP206" s="533"/>
      <c r="AQ206" s="533"/>
      <c r="AR206" s="533"/>
      <c r="AS206" s="533"/>
      <c r="AT206" s="533"/>
      <c r="AU206" s="533"/>
      <c r="AV206" s="533"/>
      <c r="AW206" s="533"/>
      <c r="AX206" s="533"/>
      <c r="AY206" s="533"/>
      <c r="AZ206" s="533"/>
      <c r="BA206" s="533"/>
      <c r="BB206" s="533"/>
      <c r="BC206" s="533"/>
      <c r="BD206" s="533"/>
      <c r="BE206" s="540"/>
      <c r="BF206" s="540"/>
      <c r="BG206" s="533"/>
      <c r="BH206" s="531"/>
      <c r="BI206" s="532"/>
      <c r="BJ206" s="533"/>
      <c r="BK206" s="533"/>
      <c r="BL206" s="533"/>
      <c r="BM206" s="533"/>
    </row>
    <row r="207" spans="4:65" s="518" customFormat="1">
      <c r="D207" s="772"/>
      <c r="E207" s="772"/>
      <c r="F207" s="522"/>
      <c r="G207" s="517"/>
      <c r="H207" s="519"/>
      <c r="I207" s="533"/>
      <c r="J207" s="533"/>
      <c r="K207" s="533"/>
      <c r="L207" s="533"/>
      <c r="M207" s="533"/>
      <c r="N207" s="533"/>
      <c r="O207" s="533"/>
      <c r="P207" s="533"/>
      <c r="Q207" s="533"/>
      <c r="R207" s="533"/>
      <c r="S207" s="533"/>
      <c r="T207" s="533"/>
      <c r="U207" s="533"/>
      <c r="V207" s="533"/>
      <c r="W207" s="533"/>
      <c r="X207" s="533"/>
      <c r="Y207" s="533"/>
      <c r="Z207" s="533"/>
      <c r="AA207" s="533"/>
      <c r="AB207" s="533"/>
      <c r="AC207" s="533"/>
      <c r="AD207" s="533"/>
      <c r="AE207" s="533"/>
      <c r="AF207" s="533"/>
      <c r="AG207" s="533"/>
      <c r="AH207" s="533"/>
      <c r="AI207" s="533"/>
      <c r="AJ207" s="533"/>
      <c r="AK207" s="533"/>
      <c r="AL207" s="533"/>
      <c r="AM207" s="533"/>
      <c r="AN207" s="533"/>
      <c r="AO207" s="533"/>
      <c r="AP207" s="533"/>
      <c r="AQ207" s="533"/>
      <c r="AR207" s="533"/>
      <c r="AS207" s="533"/>
      <c r="AT207" s="533"/>
      <c r="AU207" s="533"/>
      <c r="AV207" s="533"/>
      <c r="AW207" s="533"/>
      <c r="AX207" s="533"/>
      <c r="AY207" s="533"/>
      <c r="AZ207" s="533"/>
      <c r="BA207" s="533"/>
      <c r="BB207" s="533"/>
      <c r="BC207" s="533"/>
      <c r="BD207" s="533"/>
      <c r="BE207" s="540"/>
      <c r="BF207" s="540"/>
      <c r="BG207" s="533"/>
      <c r="BH207" s="531"/>
      <c r="BI207" s="532"/>
      <c r="BJ207" s="533"/>
      <c r="BK207" s="533"/>
      <c r="BL207" s="533"/>
      <c r="BM207" s="533"/>
    </row>
    <row r="208" spans="4:65" s="518" customFormat="1">
      <c r="D208" s="772"/>
      <c r="E208" s="772"/>
      <c r="F208" s="522"/>
      <c r="G208" s="517"/>
      <c r="H208" s="519"/>
      <c r="I208" s="533"/>
      <c r="J208" s="533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  <c r="AA208" s="533"/>
      <c r="AB208" s="533"/>
      <c r="AC208" s="533"/>
      <c r="AD208" s="533"/>
      <c r="AE208" s="533"/>
      <c r="AF208" s="533"/>
      <c r="AG208" s="533"/>
      <c r="AH208" s="533"/>
      <c r="AI208" s="533"/>
      <c r="AJ208" s="533"/>
      <c r="AK208" s="533"/>
      <c r="AL208" s="533"/>
      <c r="AM208" s="533"/>
      <c r="AN208" s="533"/>
      <c r="AO208" s="533"/>
      <c r="AP208" s="533"/>
      <c r="AQ208" s="533"/>
      <c r="AR208" s="533"/>
      <c r="AS208" s="533"/>
      <c r="AT208" s="533"/>
      <c r="AU208" s="533"/>
      <c r="AV208" s="533"/>
      <c r="AW208" s="533"/>
      <c r="AX208" s="533"/>
      <c r="AY208" s="533"/>
      <c r="AZ208" s="533"/>
      <c r="BA208" s="533"/>
      <c r="BB208" s="533"/>
      <c r="BC208" s="533"/>
      <c r="BD208" s="533"/>
      <c r="BE208" s="540"/>
      <c r="BF208" s="540"/>
      <c r="BG208" s="533"/>
      <c r="BH208" s="531"/>
      <c r="BI208" s="532"/>
      <c r="BJ208" s="533"/>
      <c r="BK208" s="533"/>
      <c r="BL208" s="533"/>
      <c r="BM208" s="533"/>
    </row>
    <row r="209" spans="4:65" s="518" customFormat="1">
      <c r="D209" s="772"/>
      <c r="E209" s="772"/>
      <c r="F209" s="522"/>
      <c r="G209" s="517"/>
      <c r="H209" s="519"/>
      <c r="I209" s="533"/>
      <c r="J209" s="533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  <c r="U209" s="533"/>
      <c r="V209" s="533"/>
      <c r="W209" s="533"/>
      <c r="X209" s="533"/>
      <c r="Y209" s="533"/>
      <c r="Z209" s="533"/>
      <c r="AA209" s="533"/>
      <c r="AB209" s="533"/>
      <c r="AC209" s="533"/>
      <c r="AD209" s="533"/>
      <c r="AE209" s="533"/>
      <c r="AF209" s="533"/>
      <c r="AG209" s="533"/>
      <c r="AH209" s="533"/>
      <c r="AI209" s="533"/>
      <c r="AJ209" s="533"/>
      <c r="AK209" s="533"/>
      <c r="AL209" s="533"/>
      <c r="AM209" s="533"/>
      <c r="AN209" s="533"/>
      <c r="AO209" s="533"/>
      <c r="AP209" s="533"/>
      <c r="AQ209" s="533"/>
      <c r="AR209" s="533"/>
      <c r="AS209" s="533"/>
      <c r="AT209" s="533"/>
      <c r="AU209" s="533"/>
      <c r="AV209" s="533"/>
      <c r="AW209" s="533"/>
      <c r="AX209" s="533"/>
      <c r="AY209" s="533"/>
      <c r="AZ209" s="533"/>
      <c r="BA209" s="533"/>
      <c r="BB209" s="533"/>
      <c r="BC209" s="533"/>
      <c r="BD209" s="533"/>
      <c r="BE209" s="540"/>
      <c r="BF209" s="540"/>
      <c r="BG209" s="533"/>
      <c r="BH209" s="531"/>
      <c r="BI209" s="532"/>
      <c r="BJ209" s="533"/>
      <c r="BK209" s="533"/>
      <c r="BL209" s="533"/>
      <c r="BM209" s="533"/>
    </row>
    <row r="210" spans="4:65" s="518" customFormat="1">
      <c r="D210" s="772"/>
      <c r="E210" s="772"/>
      <c r="F210" s="522"/>
      <c r="G210" s="517"/>
      <c r="H210" s="519"/>
      <c r="I210" s="533"/>
      <c r="J210" s="533"/>
      <c r="K210" s="533"/>
      <c r="L210" s="533"/>
      <c r="M210" s="533"/>
      <c r="N210" s="533"/>
      <c r="O210" s="533"/>
      <c r="P210" s="533"/>
      <c r="Q210" s="533"/>
      <c r="R210" s="533"/>
      <c r="S210" s="533"/>
      <c r="T210" s="533"/>
      <c r="U210" s="533"/>
      <c r="V210" s="533"/>
      <c r="W210" s="533"/>
      <c r="X210" s="533"/>
      <c r="Y210" s="533"/>
      <c r="Z210" s="533"/>
      <c r="AA210" s="533"/>
      <c r="AB210" s="533"/>
      <c r="AC210" s="533"/>
      <c r="AD210" s="533"/>
      <c r="AE210" s="533"/>
      <c r="AF210" s="533"/>
      <c r="AG210" s="533"/>
      <c r="AH210" s="533"/>
      <c r="AI210" s="533"/>
      <c r="AJ210" s="533"/>
      <c r="AK210" s="533"/>
      <c r="AL210" s="533"/>
      <c r="AM210" s="533"/>
      <c r="AN210" s="533"/>
      <c r="AO210" s="533"/>
      <c r="AP210" s="533"/>
      <c r="AQ210" s="533"/>
      <c r="AR210" s="533"/>
      <c r="AS210" s="533"/>
      <c r="AT210" s="533"/>
      <c r="AU210" s="533"/>
      <c r="AV210" s="533"/>
      <c r="AW210" s="533"/>
      <c r="AX210" s="533"/>
      <c r="AY210" s="533"/>
      <c r="AZ210" s="533"/>
      <c r="BA210" s="533"/>
      <c r="BB210" s="533"/>
      <c r="BC210" s="533"/>
      <c r="BD210" s="533"/>
      <c r="BE210" s="540"/>
      <c r="BF210" s="540"/>
      <c r="BG210" s="533"/>
      <c r="BH210" s="531"/>
      <c r="BI210" s="532"/>
      <c r="BJ210" s="533"/>
      <c r="BK210" s="533"/>
      <c r="BL210" s="533"/>
      <c r="BM210" s="533"/>
    </row>
    <row r="211" spans="4:65" s="518" customFormat="1">
      <c r="D211" s="772"/>
      <c r="E211" s="772"/>
      <c r="F211" s="522"/>
      <c r="G211" s="517"/>
      <c r="H211" s="519"/>
      <c r="I211" s="533"/>
      <c r="J211" s="533"/>
      <c r="K211" s="533"/>
      <c r="L211" s="533"/>
      <c r="M211" s="533"/>
      <c r="N211" s="533"/>
      <c r="O211" s="533"/>
      <c r="P211" s="533"/>
      <c r="Q211" s="533"/>
      <c r="R211" s="533"/>
      <c r="S211" s="533"/>
      <c r="T211" s="533"/>
      <c r="U211" s="533"/>
      <c r="V211" s="533"/>
      <c r="W211" s="533"/>
      <c r="X211" s="533"/>
      <c r="Y211" s="533"/>
      <c r="Z211" s="533"/>
      <c r="AA211" s="533"/>
      <c r="AB211" s="533"/>
      <c r="AC211" s="533"/>
      <c r="AD211" s="533"/>
      <c r="AE211" s="533"/>
      <c r="AF211" s="533"/>
      <c r="AG211" s="533"/>
      <c r="AH211" s="533"/>
      <c r="AI211" s="533"/>
      <c r="AJ211" s="533"/>
      <c r="AK211" s="533"/>
      <c r="AL211" s="533"/>
      <c r="AM211" s="533"/>
      <c r="AN211" s="533"/>
      <c r="AO211" s="533"/>
      <c r="AP211" s="533"/>
      <c r="AQ211" s="533"/>
      <c r="AR211" s="533"/>
      <c r="AS211" s="533"/>
      <c r="AT211" s="533"/>
      <c r="AU211" s="533"/>
      <c r="AV211" s="533"/>
      <c r="AW211" s="533"/>
      <c r="AX211" s="533"/>
      <c r="AY211" s="533"/>
      <c r="AZ211" s="533"/>
      <c r="BA211" s="533"/>
      <c r="BB211" s="533"/>
      <c r="BC211" s="533"/>
      <c r="BD211" s="533"/>
      <c r="BE211" s="540"/>
      <c r="BF211" s="540"/>
      <c r="BG211" s="533"/>
      <c r="BH211" s="531"/>
      <c r="BI211" s="532"/>
      <c r="BJ211" s="533"/>
      <c r="BK211" s="533"/>
      <c r="BL211" s="533"/>
      <c r="BM211" s="533"/>
    </row>
    <row r="212" spans="4:65" s="518" customFormat="1">
      <c r="D212" s="772"/>
      <c r="E212" s="772"/>
      <c r="F212" s="522"/>
      <c r="G212" s="517"/>
      <c r="H212" s="519"/>
      <c r="I212" s="533"/>
      <c r="J212" s="533"/>
      <c r="K212" s="533"/>
      <c r="L212" s="533"/>
      <c r="M212" s="533"/>
      <c r="N212" s="533"/>
      <c r="O212" s="533"/>
      <c r="P212" s="533"/>
      <c r="Q212" s="533"/>
      <c r="R212" s="533"/>
      <c r="S212" s="533"/>
      <c r="T212" s="533"/>
      <c r="U212" s="533"/>
      <c r="V212" s="533"/>
      <c r="W212" s="533"/>
      <c r="X212" s="533"/>
      <c r="Y212" s="533"/>
      <c r="Z212" s="533"/>
      <c r="AA212" s="533"/>
      <c r="AB212" s="533"/>
      <c r="AC212" s="533"/>
      <c r="AD212" s="533"/>
      <c r="AE212" s="533"/>
      <c r="AF212" s="533"/>
      <c r="AG212" s="533"/>
      <c r="AH212" s="533"/>
      <c r="AI212" s="533"/>
      <c r="AJ212" s="533"/>
      <c r="AK212" s="533"/>
      <c r="AL212" s="533"/>
      <c r="AM212" s="533"/>
      <c r="AN212" s="533"/>
      <c r="AO212" s="533"/>
      <c r="AP212" s="533"/>
      <c r="AQ212" s="533"/>
      <c r="AR212" s="533"/>
      <c r="AS212" s="533"/>
      <c r="AT212" s="533"/>
      <c r="AU212" s="533"/>
      <c r="AV212" s="533"/>
      <c r="AW212" s="533"/>
      <c r="AX212" s="533"/>
      <c r="AY212" s="533"/>
      <c r="AZ212" s="533"/>
      <c r="BA212" s="533"/>
      <c r="BB212" s="533"/>
      <c r="BC212" s="533"/>
      <c r="BD212" s="533"/>
      <c r="BE212" s="540"/>
      <c r="BF212" s="540"/>
      <c r="BG212" s="533"/>
      <c r="BH212" s="531"/>
      <c r="BI212" s="532"/>
      <c r="BJ212" s="533"/>
      <c r="BK212" s="533"/>
      <c r="BL212" s="533"/>
      <c r="BM212" s="533"/>
    </row>
    <row r="213" spans="4:65" s="518" customFormat="1">
      <c r="D213" s="772"/>
      <c r="E213" s="772"/>
      <c r="F213" s="522"/>
      <c r="G213" s="517"/>
      <c r="H213" s="519"/>
      <c r="I213" s="533"/>
      <c r="J213" s="533"/>
      <c r="K213" s="533"/>
      <c r="L213" s="533"/>
      <c r="M213" s="533"/>
      <c r="N213" s="533"/>
      <c r="O213" s="533"/>
      <c r="P213" s="533"/>
      <c r="Q213" s="533"/>
      <c r="R213" s="533"/>
      <c r="S213" s="533"/>
      <c r="T213" s="533"/>
      <c r="U213" s="533"/>
      <c r="V213" s="533"/>
      <c r="W213" s="533"/>
      <c r="X213" s="533"/>
      <c r="Y213" s="533"/>
      <c r="Z213" s="533"/>
      <c r="AA213" s="533"/>
      <c r="AB213" s="533"/>
      <c r="AC213" s="533"/>
      <c r="AD213" s="533"/>
      <c r="AE213" s="533"/>
      <c r="AF213" s="533"/>
      <c r="AG213" s="533"/>
      <c r="AH213" s="533"/>
      <c r="AI213" s="533"/>
      <c r="AJ213" s="533"/>
      <c r="AK213" s="533"/>
      <c r="AL213" s="533"/>
      <c r="AM213" s="533"/>
      <c r="AN213" s="533"/>
      <c r="AO213" s="533"/>
      <c r="AP213" s="533"/>
      <c r="AQ213" s="533"/>
      <c r="AR213" s="533"/>
      <c r="AS213" s="533"/>
      <c r="AT213" s="533"/>
      <c r="AU213" s="533"/>
      <c r="AV213" s="533"/>
      <c r="AW213" s="533"/>
      <c r="AX213" s="533"/>
      <c r="AY213" s="533"/>
      <c r="AZ213" s="533"/>
      <c r="BA213" s="533"/>
      <c r="BB213" s="533"/>
      <c r="BC213" s="533"/>
      <c r="BD213" s="533"/>
      <c r="BE213" s="540"/>
      <c r="BF213" s="540"/>
      <c r="BG213" s="533"/>
      <c r="BH213" s="531"/>
      <c r="BI213" s="532"/>
      <c r="BJ213" s="533"/>
      <c r="BK213" s="533"/>
      <c r="BL213" s="533"/>
      <c r="BM213" s="533"/>
    </row>
    <row r="214" spans="4:65" s="518" customFormat="1">
      <c r="D214" s="772"/>
      <c r="E214" s="772"/>
      <c r="F214" s="522"/>
      <c r="G214" s="517"/>
      <c r="H214" s="519"/>
      <c r="I214" s="533"/>
      <c r="J214" s="533"/>
      <c r="K214" s="533"/>
      <c r="L214" s="533"/>
      <c r="M214" s="533"/>
      <c r="N214" s="533"/>
      <c r="O214" s="533"/>
      <c r="P214" s="533"/>
      <c r="Q214" s="533"/>
      <c r="R214" s="533"/>
      <c r="S214" s="533"/>
      <c r="T214" s="533"/>
      <c r="U214" s="533"/>
      <c r="V214" s="533"/>
      <c r="W214" s="533"/>
      <c r="X214" s="533"/>
      <c r="Y214" s="533"/>
      <c r="Z214" s="533"/>
      <c r="AA214" s="533"/>
      <c r="AB214" s="533"/>
      <c r="AC214" s="533"/>
      <c r="AD214" s="533"/>
      <c r="AE214" s="533"/>
      <c r="AF214" s="533"/>
      <c r="AG214" s="533"/>
      <c r="AH214" s="533"/>
      <c r="AI214" s="533"/>
      <c r="AJ214" s="533"/>
      <c r="AK214" s="533"/>
      <c r="AL214" s="533"/>
      <c r="AM214" s="533"/>
      <c r="AN214" s="533"/>
      <c r="AO214" s="533"/>
      <c r="AP214" s="533"/>
      <c r="AQ214" s="533"/>
      <c r="AR214" s="533"/>
      <c r="AS214" s="533"/>
      <c r="AT214" s="533"/>
      <c r="AU214" s="533"/>
      <c r="AV214" s="533"/>
      <c r="AW214" s="533"/>
      <c r="AX214" s="533"/>
      <c r="AY214" s="533"/>
      <c r="AZ214" s="533"/>
      <c r="BA214" s="533"/>
      <c r="BB214" s="533"/>
      <c r="BC214" s="533"/>
      <c r="BD214" s="533"/>
      <c r="BE214" s="540"/>
      <c r="BF214" s="540"/>
      <c r="BG214" s="533"/>
      <c r="BH214" s="531"/>
      <c r="BI214" s="532"/>
      <c r="BJ214" s="533"/>
      <c r="BK214" s="533"/>
      <c r="BL214" s="533"/>
      <c r="BM214" s="533"/>
    </row>
    <row r="215" spans="4:65" s="518" customFormat="1">
      <c r="D215" s="772"/>
      <c r="E215" s="772"/>
      <c r="F215" s="522"/>
      <c r="G215" s="517"/>
      <c r="H215" s="519"/>
      <c r="I215" s="533"/>
      <c r="J215" s="533"/>
      <c r="K215" s="533"/>
      <c r="L215" s="533"/>
      <c r="M215" s="533"/>
      <c r="N215" s="533"/>
      <c r="O215" s="533"/>
      <c r="P215" s="533"/>
      <c r="Q215" s="533"/>
      <c r="R215" s="533"/>
      <c r="S215" s="533"/>
      <c r="T215" s="533"/>
      <c r="U215" s="533"/>
      <c r="V215" s="533"/>
      <c r="W215" s="533"/>
      <c r="X215" s="533"/>
      <c r="Y215" s="533"/>
      <c r="Z215" s="533"/>
      <c r="AA215" s="533"/>
      <c r="AB215" s="533"/>
      <c r="AC215" s="533"/>
      <c r="AD215" s="533"/>
      <c r="AE215" s="533"/>
      <c r="AF215" s="533"/>
      <c r="AG215" s="533"/>
      <c r="AH215" s="533"/>
      <c r="AI215" s="533"/>
      <c r="AJ215" s="533"/>
      <c r="AK215" s="533"/>
      <c r="AL215" s="533"/>
      <c r="AM215" s="533"/>
      <c r="AN215" s="533"/>
      <c r="AO215" s="533"/>
      <c r="AP215" s="533"/>
      <c r="AQ215" s="533"/>
      <c r="AR215" s="533"/>
      <c r="AS215" s="533"/>
      <c r="AT215" s="533"/>
      <c r="AU215" s="533"/>
      <c r="AV215" s="533"/>
      <c r="AW215" s="533"/>
      <c r="AX215" s="533"/>
      <c r="AY215" s="533"/>
      <c r="AZ215" s="533"/>
      <c r="BA215" s="533"/>
      <c r="BB215" s="533"/>
      <c r="BC215" s="533"/>
      <c r="BD215" s="533"/>
      <c r="BE215" s="540"/>
      <c r="BF215" s="540"/>
      <c r="BG215" s="533"/>
      <c r="BH215" s="531"/>
      <c r="BI215" s="532"/>
      <c r="BJ215" s="533"/>
      <c r="BK215" s="533"/>
      <c r="BL215" s="533"/>
      <c r="BM215" s="533"/>
    </row>
    <row r="216" spans="4:65" s="518" customFormat="1">
      <c r="D216" s="772"/>
      <c r="E216" s="772"/>
      <c r="F216" s="522"/>
      <c r="G216" s="517"/>
      <c r="H216" s="519"/>
      <c r="I216" s="533"/>
      <c r="J216" s="533"/>
      <c r="K216" s="533"/>
      <c r="L216" s="533"/>
      <c r="M216" s="533"/>
      <c r="N216" s="533"/>
      <c r="O216" s="533"/>
      <c r="P216" s="533"/>
      <c r="Q216" s="533"/>
      <c r="R216" s="533"/>
      <c r="S216" s="533"/>
      <c r="T216" s="533"/>
      <c r="U216" s="533"/>
      <c r="V216" s="533"/>
      <c r="W216" s="533"/>
      <c r="X216" s="533"/>
      <c r="Y216" s="533"/>
      <c r="Z216" s="533"/>
      <c r="AA216" s="533"/>
      <c r="AB216" s="533"/>
      <c r="AC216" s="533"/>
      <c r="AD216" s="533"/>
      <c r="AE216" s="533"/>
      <c r="AF216" s="533"/>
      <c r="AG216" s="533"/>
      <c r="AH216" s="533"/>
      <c r="AI216" s="533"/>
      <c r="AJ216" s="533"/>
      <c r="AK216" s="533"/>
      <c r="AL216" s="533"/>
      <c r="AM216" s="533"/>
      <c r="AN216" s="533"/>
      <c r="AO216" s="533"/>
      <c r="AP216" s="533"/>
      <c r="AQ216" s="533"/>
      <c r="AR216" s="533"/>
      <c r="AS216" s="533"/>
      <c r="AT216" s="533"/>
      <c r="AU216" s="533"/>
      <c r="AV216" s="533"/>
      <c r="AW216" s="533"/>
      <c r="AX216" s="533"/>
      <c r="AY216" s="533"/>
      <c r="AZ216" s="533"/>
      <c r="BA216" s="533"/>
      <c r="BB216" s="533"/>
      <c r="BC216" s="533"/>
      <c r="BD216" s="533"/>
      <c r="BE216" s="540"/>
      <c r="BF216" s="540"/>
      <c r="BG216" s="533"/>
      <c r="BH216" s="531"/>
      <c r="BI216" s="532"/>
      <c r="BJ216" s="533"/>
      <c r="BK216" s="533"/>
      <c r="BL216" s="533"/>
      <c r="BM216" s="533"/>
    </row>
    <row r="217" spans="4:65" s="518" customFormat="1">
      <c r="D217" s="772"/>
      <c r="E217" s="772"/>
      <c r="F217" s="522"/>
      <c r="G217" s="517"/>
      <c r="H217" s="519"/>
      <c r="I217" s="533"/>
      <c r="J217" s="533"/>
      <c r="K217" s="533"/>
      <c r="L217" s="533"/>
      <c r="M217" s="533"/>
      <c r="N217" s="533"/>
      <c r="O217" s="533"/>
      <c r="P217" s="533"/>
      <c r="Q217" s="533"/>
      <c r="R217" s="533"/>
      <c r="S217" s="533"/>
      <c r="T217" s="533"/>
      <c r="U217" s="533"/>
      <c r="V217" s="533"/>
      <c r="W217" s="533"/>
      <c r="X217" s="533"/>
      <c r="Y217" s="533"/>
      <c r="Z217" s="533"/>
      <c r="AA217" s="533"/>
      <c r="AB217" s="533"/>
      <c r="AC217" s="533"/>
      <c r="AD217" s="533"/>
      <c r="AE217" s="533"/>
      <c r="AF217" s="533"/>
      <c r="AG217" s="533"/>
      <c r="AH217" s="533"/>
      <c r="AI217" s="533"/>
      <c r="AJ217" s="533"/>
      <c r="AK217" s="533"/>
      <c r="AL217" s="533"/>
      <c r="AM217" s="533"/>
      <c r="AN217" s="533"/>
      <c r="AO217" s="533"/>
      <c r="AP217" s="533"/>
      <c r="AQ217" s="533"/>
      <c r="AR217" s="533"/>
      <c r="AS217" s="533"/>
      <c r="AT217" s="533"/>
      <c r="AU217" s="533"/>
      <c r="AV217" s="533"/>
      <c r="AW217" s="533"/>
      <c r="AX217" s="533"/>
      <c r="AY217" s="533"/>
      <c r="AZ217" s="533"/>
      <c r="BA217" s="533"/>
      <c r="BB217" s="533"/>
      <c r="BC217" s="533"/>
      <c r="BD217" s="533"/>
      <c r="BE217" s="540"/>
      <c r="BF217" s="540"/>
      <c r="BG217" s="533"/>
      <c r="BH217" s="531"/>
      <c r="BI217" s="532"/>
      <c r="BJ217" s="533"/>
      <c r="BK217" s="533"/>
      <c r="BL217" s="533"/>
      <c r="BM217" s="533"/>
    </row>
    <row r="218" spans="4:65" s="518" customFormat="1">
      <c r="D218" s="772"/>
      <c r="E218" s="772"/>
      <c r="F218" s="522"/>
      <c r="G218" s="517"/>
      <c r="H218" s="519"/>
      <c r="I218" s="533"/>
      <c r="J218" s="533"/>
      <c r="K218" s="533"/>
      <c r="L218" s="533"/>
      <c r="M218" s="533"/>
      <c r="N218" s="533"/>
      <c r="O218" s="533"/>
      <c r="P218" s="533"/>
      <c r="Q218" s="533"/>
      <c r="R218" s="533"/>
      <c r="S218" s="533"/>
      <c r="T218" s="533"/>
      <c r="U218" s="533"/>
      <c r="V218" s="533"/>
      <c r="W218" s="533"/>
      <c r="X218" s="533"/>
      <c r="Y218" s="533"/>
      <c r="Z218" s="533"/>
      <c r="AA218" s="533"/>
      <c r="AB218" s="533"/>
      <c r="AC218" s="533"/>
      <c r="AD218" s="533"/>
      <c r="AE218" s="533"/>
      <c r="AF218" s="533"/>
      <c r="AG218" s="533"/>
      <c r="AH218" s="533"/>
      <c r="AI218" s="533"/>
      <c r="AJ218" s="533"/>
      <c r="AK218" s="533"/>
      <c r="AL218" s="533"/>
      <c r="AM218" s="533"/>
      <c r="AN218" s="533"/>
      <c r="AO218" s="533"/>
      <c r="AP218" s="533"/>
      <c r="AQ218" s="533"/>
      <c r="AR218" s="533"/>
      <c r="AS218" s="533"/>
      <c r="AT218" s="533"/>
      <c r="AU218" s="533"/>
      <c r="AV218" s="533"/>
      <c r="AW218" s="533"/>
      <c r="AX218" s="533"/>
      <c r="AY218" s="533"/>
      <c r="AZ218" s="533"/>
      <c r="BA218" s="533"/>
      <c r="BB218" s="533"/>
      <c r="BC218" s="533"/>
      <c r="BD218" s="533"/>
      <c r="BE218" s="540"/>
      <c r="BF218" s="540"/>
      <c r="BG218" s="533"/>
      <c r="BH218" s="531"/>
      <c r="BI218" s="532"/>
      <c r="BJ218" s="533"/>
      <c r="BK218" s="533"/>
      <c r="BL218" s="533"/>
      <c r="BM218" s="533"/>
    </row>
    <row r="219" spans="4:65" s="518" customFormat="1">
      <c r="D219" s="772"/>
      <c r="E219" s="772"/>
      <c r="F219" s="522"/>
      <c r="G219" s="517"/>
      <c r="H219" s="519"/>
      <c r="I219" s="533"/>
      <c r="J219" s="533"/>
      <c r="K219" s="533"/>
      <c r="L219" s="533"/>
      <c r="M219" s="533"/>
      <c r="N219" s="533"/>
      <c r="O219" s="533"/>
      <c r="P219" s="533"/>
      <c r="Q219" s="533"/>
      <c r="R219" s="533"/>
      <c r="S219" s="533"/>
      <c r="T219" s="533"/>
      <c r="U219" s="533"/>
      <c r="V219" s="533"/>
      <c r="W219" s="533"/>
      <c r="X219" s="533"/>
      <c r="Y219" s="533"/>
      <c r="Z219" s="533"/>
      <c r="AA219" s="533"/>
      <c r="AB219" s="533"/>
      <c r="AC219" s="533"/>
      <c r="AD219" s="533"/>
      <c r="AE219" s="533"/>
      <c r="AF219" s="533"/>
      <c r="AG219" s="533"/>
      <c r="AH219" s="533"/>
      <c r="AI219" s="533"/>
      <c r="AJ219" s="533"/>
      <c r="AK219" s="533"/>
      <c r="AL219" s="533"/>
      <c r="AM219" s="533"/>
      <c r="AN219" s="533"/>
      <c r="AO219" s="533"/>
      <c r="AP219" s="533"/>
      <c r="AQ219" s="533"/>
      <c r="AR219" s="533"/>
      <c r="AS219" s="533"/>
      <c r="AT219" s="533"/>
      <c r="AU219" s="533"/>
      <c r="AV219" s="533"/>
      <c r="AW219" s="533"/>
      <c r="AX219" s="533"/>
      <c r="AY219" s="533"/>
      <c r="AZ219" s="533"/>
      <c r="BA219" s="533"/>
      <c r="BB219" s="533"/>
      <c r="BC219" s="533"/>
      <c r="BD219" s="533"/>
      <c r="BE219" s="540"/>
      <c r="BF219" s="540"/>
      <c r="BG219" s="533"/>
      <c r="BH219" s="531"/>
      <c r="BI219" s="532"/>
      <c r="BJ219" s="533"/>
      <c r="BK219" s="533"/>
      <c r="BL219" s="533"/>
      <c r="BM219" s="533"/>
    </row>
    <row r="220" spans="4:65" s="518" customFormat="1">
      <c r="D220" s="772"/>
      <c r="E220" s="772"/>
      <c r="F220" s="522"/>
      <c r="G220" s="517"/>
      <c r="H220" s="519"/>
      <c r="I220" s="533"/>
      <c r="J220" s="533"/>
      <c r="K220" s="533"/>
      <c r="L220" s="533"/>
      <c r="M220" s="533"/>
      <c r="N220" s="533"/>
      <c r="O220" s="533"/>
      <c r="P220" s="533"/>
      <c r="Q220" s="533"/>
      <c r="R220" s="533"/>
      <c r="S220" s="533"/>
      <c r="T220" s="533"/>
      <c r="U220" s="533"/>
      <c r="V220" s="533"/>
      <c r="W220" s="533"/>
      <c r="X220" s="533"/>
      <c r="Y220" s="533"/>
      <c r="Z220" s="533"/>
      <c r="AA220" s="533"/>
      <c r="AB220" s="533"/>
      <c r="AC220" s="533"/>
      <c r="AD220" s="533"/>
      <c r="AE220" s="533"/>
      <c r="AF220" s="533"/>
      <c r="AG220" s="533"/>
      <c r="AH220" s="533"/>
      <c r="AI220" s="533"/>
      <c r="AJ220" s="533"/>
      <c r="AK220" s="533"/>
      <c r="AL220" s="533"/>
      <c r="AM220" s="533"/>
      <c r="AN220" s="533"/>
      <c r="AO220" s="533"/>
      <c r="AP220" s="533"/>
      <c r="AQ220" s="533"/>
      <c r="AR220" s="533"/>
      <c r="AS220" s="533"/>
      <c r="AT220" s="533"/>
      <c r="AU220" s="533"/>
      <c r="AV220" s="533"/>
      <c r="AW220" s="533"/>
      <c r="AX220" s="533"/>
      <c r="AY220" s="533"/>
      <c r="AZ220" s="533"/>
      <c r="BA220" s="533"/>
      <c r="BB220" s="533"/>
      <c r="BC220" s="533"/>
      <c r="BD220" s="533"/>
      <c r="BE220" s="540"/>
      <c r="BF220" s="540"/>
      <c r="BG220" s="533"/>
      <c r="BH220" s="531"/>
      <c r="BI220" s="532"/>
      <c r="BJ220" s="533"/>
      <c r="BK220" s="533"/>
      <c r="BL220" s="533"/>
      <c r="BM220" s="533"/>
    </row>
    <row r="221" spans="4:65" s="518" customFormat="1">
      <c r="D221" s="772"/>
      <c r="E221" s="772"/>
      <c r="F221" s="522"/>
      <c r="G221" s="517"/>
      <c r="H221" s="519"/>
      <c r="I221" s="533"/>
      <c r="J221" s="533"/>
      <c r="K221" s="533"/>
      <c r="L221" s="533"/>
      <c r="M221" s="533"/>
      <c r="N221" s="533"/>
      <c r="O221" s="533"/>
      <c r="P221" s="533"/>
      <c r="Q221" s="533"/>
      <c r="R221" s="533"/>
      <c r="S221" s="533"/>
      <c r="T221" s="533"/>
      <c r="U221" s="533"/>
      <c r="V221" s="533"/>
      <c r="W221" s="533"/>
      <c r="X221" s="533"/>
      <c r="Y221" s="533"/>
      <c r="Z221" s="533"/>
      <c r="AA221" s="533"/>
      <c r="AB221" s="533"/>
      <c r="AC221" s="533"/>
      <c r="AD221" s="533"/>
      <c r="AE221" s="533"/>
      <c r="AF221" s="533"/>
      <c r="AG221" s="533"/>
      <c r="AH221" s="533"/>
      <c r="AI221" s="533"/>
      <c r="AJ221" s="533"/>
      <c r="AK221" s="533"/>
      <c r="AL221" s="533"/>
      <c r="AM221" s="533"/>
      <c r="AN221" s="533"/>
      <c r="AO221" s="533"/>
      <c r="AP221" s="533"/>
      <c r="AQ221" s="533"/>
      <c r="AR221" s="533"/>
      <c r="AS221" s="533"/>
      <c r="AT221" s="533"/>
      <c r="AU221" s="533"/>
      <c r="AV221" s="533"/>
      <c r="AW221" s="533"/>
      <c r="AX221" s="533"/>
      <c r="AY221" s="533"/>
      <c r="AZ221" s="533"/>
      <c r="BA221" s="533"/>
      <c r="BB221" s="533"/>
      <c r="BC221" s="533"/>
      <c r="BD221" s="533"/>
      <c r="BE221" s="540"/>
      <c r="BF221" s="540"/>
      <c r="BG221" s="533"/>
      <c r="BH221" s="531"/>
      <c r="BI221" s="532"/>
      <c r="BJ221" s="533"/>
      <c r="BK221" s="533"/>
      <c r="BL221" s="533"/>
      <c r="BM221" s="533"/>
    </row>
    <row r="222" spans="4:65" s="518" customFormat="1">
      <c r="D222" s="772"/>
      <c r="E222" s="772"/>
      <c r="F222" s="522"/>
      <c r="G222" s="517"/>
      <c r="H222" s="519"/>
      <c r="I222" s="533"/>
      <c r="J222" s="533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  <c r="U222" s="533"/>
      <c r="V222" s="533"/>
      <c r="W222" s="533"/>
      <c r="X222" s="533"/>
      <c r="Y222" s="533"/>
      <c r="Z222" s="533"/>
      <c r="AA222" s="533"/>
      <c r="AB222" s="533"/>
      <c r="AC222" s="533"/>
      <c r="AD222" s="533"/>
      <c r="AE222" s="533"/>
      <c r="AF222" s="533"/>
      <c r="AG222" s="533"/>
      <c r="AH222" s="533"/>
      <c r="AI222" s="533"/>
      <c r="AJ222" s="533"/>
      <c r="AK222" s="533"/>
      <c r="AL222" s="533"/>
      <c r="AM222" s="533"/>
      <c r="AN222" s="533"/>
      <c r="AO222" s="533"/>
      <c r="AP222" s="533"/>
      <c r="AQ222" s="533"/>
      <c r="AR222" s="533"/>
      <c r="AS222" s="533"/>
      <c r="AT222" s="533"/>
      <c r="AU222" s="533"/>
      <c r="AV222" s="533"/>
      <c r="AW222" s="533"/>
      <c r="AX222" s="533"/>
      <c r="AY222" s="533"/>
      <c r="AZ222" s="533"/>
      <c r="BA222" s="533"/>
      <c r="BB222" s="533"/>
      <c r="BC222" s="533"/>
      <c r="BD222" s="533"/>
      <c r="BE222" s="540"/>
      <c r="BF222" s="540"/>
      <c r="BG222" s="533"/>
      <c r="BH222" s="531"/>
      <c r="BI222" s="532"/>
      <c r="BJ222" s="533"/>
      <c r="BK222" s="533"/>
      <c r="BL222" s="533"/>
      <c r="BM222" s="533"/>
    </row>
    <row r="223" spans="4:65" s="518" customFormat="1">
      <c r="D223" s="772"/>
      <c r="E223" s="772"/>
      <c r="F223" s="522"/>
      <c r="G223" s="517"/>
      <c r="H223" s="519"/>
      <c r="I223" s="533"/>
      <c r="J223" s="533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  <c r="U223" s="533"/>
      <c r="V223" s="533"/>
      <c r="W223" s="533"/>
      <c r="X223" s="533"/>
      <c r="Y223" s="533"/>
      <c r="Z223" s="533"/>
      <c r="AA223" s="533"/>
      <c r="AB223" s="533"/>
      <c r="AC223" s="533"/>
      <c r="AD223" s="533"/>
      <c r="AE223" s="533"/>
      <c r="AF223" s="533"/>
      <c r="AG223" s="533"/>
      <c r="AH223" s="533"/>
      <c r="AI223" s="533"/>
      <c r="AJ223" s="533"/>
      <c r="AK223" s="533"/>
      <c r="AL223" s="533"/>
      <c r="AM223" s="533"/>
      <c r="AN223" s="533"/>
      <c r="AO223" s="533"/>
      <c r="AP223" s="533"/>
      <c r="AQ223" s="533"/>
      <c r="AR223" s="533"/>
      <c r="AS223" s="533"/>
      <c r="AT223" s="533"/>
      <c r="AU223" s="533"/>
      <c r="AV223" s="533"/>
      <c r="AW223" s="533"/>
      <c r="AX223" s="533"/>
      <c r="AY223" s="533"/>
      <c r="AZ223" s="533"/>
      <c r="BA223" s="533"/>
      <c r="BB223" s="533"/>
      <c r="BC223" s="533"/>
      <c r="BD223" s="533"/>
      <c r="BE223" s="540"/>
      <c r="BF223" s="540"/>
      <c r="BG223" s="533"/>
      <c r="BH223" s="531"/>
      <c r="BI223" s="532"/>
      <c r="BJ223" s="533"/>
      <c r="BK223" s="533"/>
      <c r="BL223" s="533"/>
      <c r="BM223" s="533"/>
    </row>
    <row r="224" spans="4:65" s="518" customFormat="1">
      <c r="D224" s="772"/>
      <c r="E224" s="772"/>
      <c r="F224" s="522"/>
      <c r="G224" s="517"/>
      <c r="H224" s="519"/>
      <c r="I224" s="533"/>
      <c r="J224" s="533"/>
      <c r="K224" s="533"/>
      <c r="L224" s="533"/>
      <c r="M224" s="533"/>
      <c r="N224" s="533"/>
      <c r="O224" s="533"/>
      <c r="P224" s="533"/>
      <c r="Q224" s="533"/>
      <c r="R224" s="533"/>
      <c r="S224" s="533"/>
      <c r="T224" s="533"/>
      <c r="U224" s="533"/>
      <c r="V224" s="533"/>
      <c r="W224" s="533"/>
      <c r="X224" s="533"/>
      <c r="Y224" s="533"/>
      <c r="Z224" s="533"/>
      <c r="AA224" s="533"/>
      <c r="AB224" s="533"/>
      <c r="AC224" s="533"/>
      <c r="AD224" s="533"/>
      <c r="AE224" s="533"/>
      <c r="AF224" s="533"/>
      <c r="AG224" s="533"/>
      <c r="AH224" s="533"/>
      <c r="AI224" s="533"/>
      <c r="AJ224" s="533"/>
      <c r="AK224" s="533"/>
      <c r="AL224" s="533"/>
      <c r="AM224" s="533"/>
      <c r="AN224" s="533"/>
      <c r="AO224" s="533"/>
      <c r="AP224" s="533"/>
      <c r="AQ224" s="533"/>
      <c r="AR224" s="533"/>
      <c r="AS224" s="533"/>
      <c r="AT224" s="533"/>
      <c r="AU224" s="533"/>
      <c r="AV224" s="533"/>
      <c r="AW224" s="533"/>
      <c r="AX224" s="533"/>
      <c r="AY224" s="533"/>
      <c r="AZ224" s="533"/>
      <c r="BA224" s="533"/>
      <c r="BB224" s="533"/>
      <c r="BC224" s="533"/>
      <c r="BD224" s="533"/>
      <c r="BE224" s="540"/>
      <c r="BF224" s="540"/>
      <c r="BG224" s="533"/>
      <c r="BH224" s="531"/>
      <c r="BI224" s="532"/>
      <c r="BJ224" s="533"/>
      <c r="BK224" s="533"/>
      <c r="BL224" s="533"/>
      <c r="BM224" s="533"/>
    </row>
    <row r="225" spans="4:65" s="518" customFormat="1">
      <c r="D225" s="772"/>
      <c r="E225" s="772"/>
      <c r="F225" s="522"/>
      <c r="G225" s="517"/>
      <c r="H225" s="519"/>
      <c r="I225" s="533"/>
      <c r="J225" s="533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  <c r="U225" s="533"/>
      <c r="V225" s="533"/>
      <c r="W225" s="533"/>
      <c r="X225" s="533"/>
      <c r="Y225" s="533"/>
      <c r="Z225" s="533"/>
      <c r="AA225" s="533"/>
      <c r="AB225" s="533"/>
      <c r="AC225" s="533"/>
      <c r="AD225" s="533"/>
      <c r="AE225" s="533"/>
      <c r="AF225" s="533"/>
      <c r="AG225" s="533"/>
      <c r="AH225" s="533"/>
      <c r="AI225" s="533"/>
      <c r="AJ225" s="533"/>
      <c r="AK225" s="533"/>
      <c r="AL225" s="533"/>
      <c r="AM225" s="533"/>
      <c r="AN225" s="533"/>
      <c r="AO225" s="533"/>
      <c r="AP225" s="533"/>
      <c r="AQ225" s="533"/>
      <c r="AR225" s="533"/>
      <c r="AS225" s="533"/>
      <c r="AT225" s="533"/>
      <c r="AU225" s="533"/>
      <c r="AV225" s="533"/>
      <c r="AW225" s="533"/>
      <c r="AX225" s="533"/>
      <c r="AY225" s="533"/>
      <c r="AZ225" s="533"/>
      <c r="BA225" s="533"/>
      <c r="BB225" s="533"/>
      <c r="BC225" s="533"/>
      <c r="BD225" s="533"/>
      <c r="BE225" s="540"/>
      <c r="BF225" s="540"/>
      <c r="BG225" s="533"/>
      <c r="BH225" s="531"/>
      <c r="BI225" s="532"/>
      <c r="BJ225" s="533"/>
      <c r="BK225" s="533"/>
      <c r="BL225" s="533"/>
      <c r="BM225" s="533"/>
    </row>
    <row r="226" spans="4:65" s="518" customFormat="1">
      <c r="D226" s="772"/>
      <c r="E226" s="772"/>
      <c r="F226" s="522"/>
      <c r="G226" s="517"/>
      <c r="H226" s="519"/>
      <c r="I226" s="533"/>
      <c r="J226" s="533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  <c r="U226" s="533"/>
      <c r="V226" s="533"/>
      <c r="W226" s="533"/>
      <c r="X226" s="533"/>
      <c r="Y226" s="533"/>
      <c r="Z226" s="533"/>
      <c r="AA226" s="533"/>
      <c r="AB226" s="533"/>
      <c r="AC226" s="533"/>
      <c r="AD226" s="533"/>
      <c r="AE226" s="533"/>
      <c r="AF226" s="533"/>
      <c r="AG226" s="533"/>
      <c r="AH226" s="533"/>
      <c r="AI226" s="533"/>
      <c r="AJ226" s="533"/>
      <c r="AK226" s="533"/>
      <c r="AL226" s="533"/>
      <c r="AM226" s="533"/>
      <c r="AN226" s="533"/>
      <c r="AO226" s="533"/>
      <c r="AP226" s="533"/>
      <c r="AQ226" s="533"/>
      <c r="AR226" s="533"/>
      <c r="AS226" s="533"/>
      <c r="AT226" s="533"/>
      <c r="AU226" s="533"/>
      <c r="AV226" s="533"/>
      <c r="AW226" s="533"/>
      <c r="AX226" s="533"/>
      <c r="AY226" s="533"/>
      <c r="AZ226" s="533"/>
      <c r="BA226" s="533"/>
      <c r="BB226" s="533"/>
      <c r="BC226" s="533"/>
      <c r="BD226" s="533"/>
      <c r="BE226" s="540"/>
      <c r="BF226" s="540"/>
      <c r="BG226" s="533"/>
      <c r="BH226" s="531"/>
      <c r="BI226" s="532"/>
      <c r="BJ226" s="533"/>
      <c r="BK226" s="533"/>
      <c r="BL226" s="533"/>
      <c r="BM226" s="533"/>
    </row>
    <row r="227" spans="4:65" s="518" customFormat="1">
      <c r="D227" s="772"/>
      <c r="E227" s="772"/>
      <c r="F227" s="522"/>
      <c r="G227" s="517"/>
      <c r="H227" s="519"/>
      <c r="I227" s="533"/>
      <c r="J227" s="533"/>
      <c r="K227" s="533"/>
      <c r="L227" s="533"/>
      <c r="M227" s="533"/>
      <c r="N227" s="533"/>
      <c r="O227" s="533"/>
      <c r="P227" s="533"/>
      <c r="Q227" s="533"/>
      <c r="R227" s="533"/>
      <c r="S227" s="533"/>
      <c r="T227" s="533"/>
      <c r="U227" s="533"/>
      <c r="V227" s="533"/>
      <c r="W227" s="533"/>
      <c r="X227" s="533"/>
      <c r="Y227" s="533"/>
      <c r="Z227" s="533"/>
      <c r="AA227" s="533"/>
      <c r="AB227" s="533"/>
      <c r="AC227" s="533"/>
      <c r="AD227" s="533"/>
      <c r="AE227" s="533"/>
      <c r="AF227" s="533"/>
      <c r="AG227" s="533"/>
      <c r="AH227" s="533"/>
      <c r="AI227" s="533"/>
      <c r="AJ227" s="533"/>
      <c r="AK227" s="533"/>
      <c r="AL227" s="533"/>
      <c r="AM227" s="533"/>
      <c r="AN227" s="533"/>
      <c r="AO227" s="533"/>
      <c r="AP227" s="533"/>
      <c r="AQ227" s="533"/>
      <c r="AR227" s="533"/>
      <c r="AS227" s="533"/>
      <c r="AT227" s="533"/>
      <c r="AU227" s="533"/>
      <c r="AV227" s="533"/>
      <c r="AW227" s="533"/>
      <c r="AX227" s="533"/>
      <c r="AY227" s="533"/>
      <c r="AZ227" s="533"/>
      <c r="BA227" s="533"/>
      <c r="BB227" s="533"/>
      <c r="BC227" s="533"/>
      <c r="BD227" s="533"/>
      <c r="BE227" s="540"/>
      <c r="BF227" s="540"/>
      <c r="BG227" s="533"/>
      <c r="BH227" s="531"/>
      <c r="BI227" s="532"/>
      <c r="BJ227" s="533"/>
      <c r="BK227" s="533"/>
      <c r="BL227" s="533"/>
      <c r="BM227" s="533"/>
    </row>
    <row r="228" spans="4:65" s="518" customFormat="1">
      <c r="D228" s="772"/>
      <c r="E228" s="772"/>
      <c r="F228" s="522"/>
      <c r="G228" s="517"/>
      <c r="H228" s="519"/>
      <c r="I228" s="533"/>
      <c r="J228" s="533"/>
      <c r="K228" s="533"/>
      <c r="L228" s="533"/>
      <c r="M228" s="533"/>
      <c r="N228" s="533"/>
      <c r="O228" s="533"/>
      <c r="P228" s="533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533"/>
      <c r="AI228" s="533"/>
      <c r="AJ228" s="533"/>
      <c r="AK228" s="533"/>
      <c r="AL228" s="533"/>
      <c r="AM228" s="533"/>
      <c r="AN228" s="533"/>
      <c r="AO228" s="533"/>
      <c r="AP228" s="533"/>
      <c r="AQ228" s="533"/>
      <c r="AR228" s="533"/>
      <c r="AS228" s="533"/>
      <c r="AT228" s="533"/>
      <c r="AU228" s="533"/>
      <c r="AV228" s="533"/>
      <c r="AW228" s="533"/>
      <c r="AX228" s="533"/>
      <c r="AY228" s="533"/>
      <c r="AZ228" s="533"/>
      <c r="BA228" s="533"/>
      <c r="BB228" s="533"/>
      <c r="BC228" s="533"/>
      <c r="BD228" s="533"/>
      <c r="BE228" s="540"/>
      <c r="BF228" s="540"/>
      <c r="BG228" s="533"/>
      <c r="BH228" s="531"/>
      <c r="BI228" s="532"/>
      <c r="BJ228" s="533"/>
      <c r="BK228" s="533"/>
      <c r="BL228" s="533"/>
      <c r="BM228" s="533"/>
    </row>
    <row r="229" spans="4:65" s="518" customFormat="1">
      <c r="D229" s="772"/>
      <c r="E229" s="772"/>
      <c r="F229" s="522"/>
      <c r="G229" s="517"/>
      <c r="H229" s="519"/>
      <c r="I229" s="533"/>
      <c r="J229" s="533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  <c r="U229" s="533"/>
      <c r="V229" s="533"/>
      <c r="W229" s="533"/>
      <c r="X229" s="533"/>
      <c r="Y229" s="533"/>
      <c r="Z229" s="533"/>
      <c r="AA229" s="533"/>
      <c r="AB229" s="533"/>
      <c r="AC229" s="533"/>
      <c r="AD229" s="533"/>
      <c r="AE229" s="533"/>
      <c r="AF229" s="533"/>
      <c r="AG229" s="533"/>
      <c r="AH229" s="533"/>
      <c r="AI229" s="533"/>
      <c r="AJ229" s="533"/>
      <c r="AK229" s="533"/>
      <c r="AL229" s="533"/>
      <c r="AM229" s="533"/>
      <c r="AN229" s="533"/>
      <c r="AO229" s="533"/>
      <c r="AP229" s="533"/>
      <c r="AQ229" s="533"/>
      <c r="AR229" s="533"/>
      <c r="AS229" s="533"/>
      <c r="AT229" s="533"/>
      <c r="AU229" s="533"/>
      <c r="AV229" s="533"/>
      <c r="AW229" s="533"/>
      <c r="AX229" s="533"/>
      <c r="AY229" s="533"/>
      <c r="AZ229" s="533"/>
      <c r="BA229" s="533"/>
      <c r="BB229" s="533"/>
      <c r="BC229" s="533"/>
      <c r="BD229" s="533"/>
      <c r="BE229" s="540"/>
      <c r="BF229" s="540"/>
      <c r="BG229" s="533"/>
      <c r="BH229" s="531"/>
      <c r="BI229" s="532"/>
      <c r="BJ229" s="533"/>
      <c r="BK229" s="533"/>
      <c r="BL229" s="533"/>
      <c r="BM229" s="533"/>
    </row>
    <row r="230" spans="4:65" s="518" customFormat="1">
      <c r="D230" s="772"/>
      <c r="E230" s="772"/>
      <c r="F230" s="522"/>
      <c r="G230" s="517"/>
      <c r="H230" s="519"/>
      <c r="I230" s="533"/>
      <c r="J230" s="533"/>
      <c r="K230" s="533"/>
      <c r="L230" s="533"/>
      <c r="M230" s="533"/>
      <c r="N230" s="533"/>
      <c r="O230" s="533"/>
      <c r="P230" s="533"/>
      <c r="Q230" s="533"/>
      <c r="R230" s="533"/>
      <c r="S230" s="533"/>
      <c r="T230" s="533"/>
      <c r="U230" s="533"/>
      <c r="V230" s="533"/>
      <c r="W230" s="533"/>
      <c r="X230" s="533"/>
      <c r="Y230" s="533"/>
      <c r="Z230" s="533"/>
      <c r="AA230" s="533"/>
      <c r="AB230" s="533"/>
      <c r="AC230" s="533"/>
      <c r="AD230" s="533"/>
      <c r="AE230" s="533"/>
      <c r="AF230" s="533"/>
      <c r="AG230" s="533"/>
      <c r="AH230" s="533"/>
      <c r="AI230" s="533"/>
      <c r="AJ230" s="533"/>
      <c r="AK230" s="533"/>
      <c r="AL230" s="533"/>
      <c r="AM230" s="533"/>
      <c r="AN230" s="533"/>
      <c r="AO230" s="533"/>
      <c r="AP230" s="533"/>
      <c r="AQ230" s="533"/>
      <c r="AR230" s="533"/>
      <c r="AS230" s="533"/>
      <c r="AT230" s="533"/>
      <c r="AU230" s="533"/>
      <c r="AV230" s="533"/>
      <c r="AW230" s="533"/>
      <c r="AX230" s="533"/>
      <c r="AY230" s="533"/>
      <c r="AZ230" s="533"/>
      <c r="BA230" s="533"/>
      <c r="BB230" s="533"/>
      <c r="BC230" s="533"/>
      <c r="BD230" s="533"/>
      <c r="BE230" s="540"/>
      <c r="BF230" s="540"/>
      <c r="BG230" s="533"/>
      <c r="BH230" s="531"/>
      <c r="BI230" s="532"/>
      <c r="BJ230" s="533"/>
      <c r="BK230" s="533"/>
      <c r="BL230" s="533"/>
      <c r="BM230" s="533"/>
    </row>
    <row r="231" spans="4:65" s="518" customFormat="1">
      <c r="D231" s="772"/>
      <c r="E231" s="772"/>
      <c r="F231" s="522"/>
      <c r="G231" s="517"/>
      <c r="H231" s="519"/>
      <c r="I231" s="533"/>
      <c r="J231" s="533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  <c r="X231" s="533"/>
      <c r="Y231" s="533"/>
      <c r="Z231" s="533"/>
      <c r="AA231" s="533"/>
      <c r="AB231" s="533"/>
      <c r="AC231" s="533"/>
      <c r="AD231" s="533"/>
      <c r="AE231" s="533"/>
      <c r="AF231" s="533"/>
      <c r="AG231" s="533"/>
      <c r="AH231" s="533"/>
      <c r="AI231" s="533"/>
      <c r="AJ231" s="533"/>
      <c r="AK231" s="533"/>
      <c r="AL231" s="533"/>
      <c r="AM231" s="533"/>
      <c r="AN231" s="533"/>
      <c r="AO231" s="533"/>
      <c r="AP231" s="533"/>
      <c r="AQ231" s="533"/>
      <c r="AR231" s="533"/>
      <c r="AS231" s="533"/>
      <c r="AT231" s="533"/>
      <c r="AU231" s="533"/>
      <c r="AV231" s="533"/>
      <c r="AW231" s="533"/>
      <c r="AX231" s="533"/>
      <c r="AY231" s="533"/>
      <c r="AZ231" s="533"/>
      <c r="BA231" s="533"/>
      <c r="BB231" s="533"/>
      <c r="BC231" s="533"/>
      <c r="BD231" s="533"/>
      <c r="BE231" s="540"/>
      <c r="BF231" s="540"/>
      <c r="BG231" s="533"/>
      <c r="BH231" s="531"/>
      <c r="BI231" s="532"/>
      <c r="BJ231" s="533"/>
      <c r="BK231" s="533"/>
      <c r="BL231" s="533"/>
      <c r="BM231" s="533"/>
    </row>
    <row r="232" spans="4:65">
      <c r="D232" s="772"/>
      <c r="E232" s="772"/>
    </row>
  </sheetData>
  <mergeCells count="166">
    <mergeCell ref="D76:E76"/>
    <mergeCell ref="D52:E52"/>
    <mergeCell ref="D53:E53"/>
    <mergeCell ref="D1:E1"/>
    <mergeCell ref="F1:F5"/>
    <mergeCell ref="BG1:BG5"/>
    <mergeCell ref="D2:E2"/>
    <mergeCell ref="D3:E3"/>
    <mergeCell ref="D4:E4"/>
    <mergeCell ref="D5:E5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</mergeCells>
  <pageMargins left="0.7" right="0.7" top="0.75" bottom="0.75" header="0.3" footer="0.3"/>
  <pageSetup paperSize="9" scale="1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altText="" r:id="rId5">
            <anchor moveWithCells="1">
              <from>
                <xdr:col>1</xdr:col>
                <xdr:colOff>297180</xdr:colOff>
                <xdr:row>0</xdr:row>
                <xdr:rowOff>22860</xdr:rowOff>
              </from>
              <to>
                <xdr:col>1</xdr:col>
                <xdr:colOff>320040</xdr:colOff>
                <xdr:row>0</xdr:row>
                <xdr:rowOff>45720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defaultSize="0" autoLine="0" altText="" r:id="rId7">
            <anchor moveWithCells="1">
              <from>
                <xdr:col>1</xdr:col>
                <xdr:colOff>297180</xdr:colOff>
                <xdr:row>1</xdr:row>
                <xdr:rowOff>45720</xdr:rowOff>
              </from>
              <to>
                <xdr:col>1</xdr:col>
                <xdr:colOff>335280</xdr:colOff>
                <xdr:row>1</xdr:row>
                <xdr:rowOff>91440</xdr:rowOff>
              </to>
            </anchor>
          </controlPr>
        </control>
      </mc:Choice>
      <mc:Fallback>
        <control shapeId="2050" r:id="rId6" name="CheckBox2"/>
      </mc:Fallback>
    </mc:AlternateContent>
    <mc:AlternateContent xmlns:mc="http://schemas.openxmlformats.org/markup-compatibility/2006">
      <mc:Choice Requires="x14">
        <control shapeId="2051" r:id="rId8" name="CheckBox3">
          <controlPr defaultSize="0" autoLine="0" altText="" r:id="rId9">
            <anchor moveWithCells="1">
              <from>
                <xdr:col>1</xdr:col>
                <xdr:colOff>297180</xdr:colOff>
                <xdr:row>2</xdr:row>
                <xdr:rowOff>38100</xdr:rowOff>
              </from>
              <to>
                <xdr:col>1</xdr:col>
                <xdr:colOff>335280</xdr:colOff>
                <xdr:row>2</xdr:row>
                <xdr:rowOff>83820</xdr:rowOff>
              </to>
            </anchor>
          </controlPr>
        </control>
      </mc:Choice>
      <mc:Fallback>
        <control shapeId="2051" r:id="rId8" name="CheckBox3"/>
      </mc:Fallback>
    </mc:AlternateContent>
  </controls>
  <tableParts count="3">
    <tablePart r:id="rId10"/>
    <tablePart r:id="rId11"/>
    <tablePart r:id="rId1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N22"/>
  <sheetViews>
    <sheetView rightToLeft="1" zoomScaleNormal="100" workbookViewId="0">
      <selection activeCell="E11" sqref="E11"/>
    </sheetView>
  </sheetViews>
  <sheetFormatPr defaultColWidth="9.09765625" defaultRowHeight="16.5" customHeight="1"/>
  <cols>
    <col min="1" max="1" width="9.09765625" style="195"/>
    <col min="2" max="2" width="14.8984375" style="195" customWidth="1"/>
    <col min="3" max="3" width="9.09765625" style="195"/>
    <col min="4" max="8" width="20.59765625" style="195" customWidth="1"/>
    <col min="9" max="11" width="9.09765625" style="195"/>
    <col min="12" max="12" width="11.19921875" style="195" bestFit="1" customWidth="1"/>
    <col min="13" max="13" width="12" style="195" customWidth="1"/>
    <col min="14" max="14" width="10.3984375" style="195" customWidth="1"/>
    <col min="15" max="15" width="11.19921875" style="195" customWidth="1"/>
    <col min="16" max="16384" width="9.09765625" style="195"/>
  </cols>
  <sheetData>
    <row r="1" spans="2:14" ht="16.5" customHeight="1" thickBot="1"/>
    <row r="2" spans="2:14" ht="21" customHeight="1" thickBot="1">
      <c r="B2" s="789" t="s">
        <v>601</v>
      </c>
      <c r="C2" s="790"/>
      <c r="D2" s="790"/>
      <c r="E2" s="790"/>
      <c r="F2" s="790"/>
      <c r="G2" s="790"/>
      <c r="H2" s="791"/>
    </row>
    <row r="3" spans="2:14" s="330" customFormat="1" ht="16.5" customHeight="1">
      <c r="B3" s="786" t="s">
        <v>599</v>
      </c>
      <c r="C3" s="340" t="s">
        <v>593</v>
      </c>
      <c r="D3" s="341"/>
      <c r="E3" s="341"/>
      <c r="F3" s="341"/>
      <c r="G3" s="341"/>
      <c r="H3" s="342"/>
      <c r="K3" s="329" t="s">
        <v>533</v>
      </c>
      <c r="L3" s="248" t="s">
        <v>16</v>
      </c>
      <c r="M3" s="249" t="s">
        <v>59</v>
      </c>
      <c r="N3" s="248" t="s">
        <v>9</v>
      </c>
    </row>
    <row r="4" spans="2:14" ht="16.5" customHeight="1">
      <c r="B4" s="787"/>
      <c r="C4" s="331" t="s">
        <v>594</v>
      </c>
      <c r="D4" s="332"/>
      <c r="E4" s="332"/>
      <c r="F4" s="332"/>
      <c r="G4" s="332"/>
      <c r="H4" s="343"/>
      <c r="K4" s="582" t="s">
        <v>574</v>
      </c>
      <c r="L4" s="203" t="s">
        <v>32</v>
      </c>
      <c r="M4" s="193" t="s">
        <v>6</v>
      </c>
      <c r="N4" s="199">
        <f>SUMIF(D17:D22,טבלה2327[[#This Row],[מוצר]],G17:G22)</f>
        <v>0</v>
      </c>
    </row>
    <row r="5" spans="2:14" ht="16.5" customHeight="1">
      <c r="B5" s="787"/>
      <c r="C5" s="331" t="s">
        <v>595</v>
      </c>
      <c r="D5" s="333"/>
      <c r="E5" s="333"/>
      <c r="F5" s="333"/>
      <c r="G5" s="333"/>
      <c r="H5" s="344"/>
      <c r="K5" s="582" t="s">
        <v>575</v>
      </c>
      <c r="L5" s="203" t="s">
        <v>33</v>
      </c>
      <c r="M5" s="193" t="s">
        <v>6</v>
      </c>
      <c r="N5" s="199">
        <f>SUMIF(D16:D22,טבלה2327[[#This Row],[מוצר]],G16:G22)</f>
        <v>0</v>
      </c>
    </row>
    <row r="6" spans="2:14" ht="16.5" customHeight="1">
      <c r="B6" s="787"/>
      <c r="C6" s="331" t="s">
        <v>596</v>
      </c>
      <c r="D6" s="333"/>
      <c r="E6" s="333"/>
      <c r="F6" s="333"/>
      <c r="G6" s="333"/>
      <c r="H6" s="344"/>
      <c r="K6" s="582" t="s">
        <v>570</v>
      </c>
      <c r="L6" s="203" t="s">
        <v>29</v>
      </c>
      <c r="M6" s="193" t="s">
        <v>6</v>
      </c>
      <c r="N6" s="199">
        <f>SUMIF(D18:D22,טבלה2327[[#This Row],[מוצר]],G18:G22)</f>
        <v>0</v>
      </c>
    </row>
    <row r="7" spans="2:14" ht="16.5" customHeight="1" thickBot="1">
      <c r="B7" s="788"/>
      <c r="C7" s="345" t="s">
        <v>597</v>
      </c>
      <c r="D7" s="516"/>
      <c r="E7" s="516"/>
      <c r="F7" s="373"/>
      <c r="G7" s="373"/>
      <c r="H7" s="346"/>
      <c r="K7" s="582" t="s">
        <v>577</v>
      </c>
      <c r="L7" s="203" t="s">
        <v>604</v>
      </c>
      <c r="M7" s="193" t="s">
        <v>6</v>
      </c>
      <c r="N7" s="199">
        <f>SUMIF(D18:D22,טבלה2327[[#This Row],[מוצר]],G18:G22)</f>
        <v>0</v>
      </c>
    </row>
    <row r="8" spans="2:14" ht="16.5" customHeight="1">
      <c r="B8" s="783" t="s">
        <v>598</v>
      </c>
      <c r="C8" s="336" t="s">
        <v>591</v>
      </c>
      <c r="D8" s="337"/>
      <c r="E8" s="337"/>
      <c r="F8" s="337"/>
      <c r="G8" s="337"/>
      <c r="H8" s="338"/>
      <c r="K8" s="582" t="s">
        <v>580</v>
      </c>
      <c r="L8" s="203" t="s">
        <v>37</v>
      </c>
      <c r="M8" s="193" t="s">
        <v>6</v>
      </c>
      <c r="N8" s="199">
        <f>SUMIF(D16:D23,טבלה2327[[#This Row],[מוצר]],G16:G23)</f>
        <v>0</v>
      </c>
    </row>
    <row r="9" spans="2:14" ht="16.5" customHeight="1">
      <c r="B9" s="784"/>
      <c r="C9" s="334" t="s">
        <v>548</v>
      </c>
      <c r="D9" s="191"/>
      <c r="E9" s="191"/>
      <c r="F9" s="191"/>
      <c r="G9" s="191"/>
      <c r="H9" s="197"/>
    </row>
    <row r="10" spans="2:14" ht="16.5" customHeight="1">
      <c r="B10" s="784"/>
      <c r="C10" s="335" t="s">
        <v>592</v>
      </c>
      <c r="D10" s="191"/>
      <c r="E10" s="191"/>
      <c r="F10" s="191"/>
      <c r="G10" s="191"/>
      <c r="H10" s="197"/>
    </row>
    <row r="11" spans="2:14" ht="16.5" customHeight="1" thickBot="1">
      <c r="B11" s="785"/>
      <c r="C11" s="339" t="s">
        <v>77</v>
      </c>
      <c r="D11" s="208"/>
      <c r="E11" s="208"/>
      <c r="F11" s="208"/>
      <c r="G11" s="208"/>
      <c r="H11" s="198"/>
    </row>
    <row r="12" spans="2:14" ht="16.5" customHeight="1" thickBot="1">
      <c r="C12" s="347" t="s">
        <v>600</v>
      </c>
      <c r="D12" s="348">
        <f>SUM(D8:D11)</f>
        <v>0</v>
      </c>
      <c r="E12" s="348">
        <f>SUM(E8:E11)</f>
        <v>0</v>
      </c>
      <c r="F12" s="348">
        <f>SUM(F8:F11)</f>
        <v>0</v>
      </c>
      <c r="G12" s="348">
        <f>SUM(G8:G11)</f>
        <v>0</v>
      </c>
      <c r="H12" s="349">
        <f>SUM(H8:H11)</f>
        <v>0</v>
      </c>
    </row>
    <row r="15" spans="2:14" ht="16.5" customHeight="1" thickBot="1"/>
    <row r="16" spans="2:14" ht="16.5" customHeight="1" thickBot="1">
      <c r="C16" s="780" t="s">
        <v>605</v>
      </c>
      <c r="D16" s="781"/>
      <c r="E16" s="781"/>
      <c r="F16" s="781"/>
      <c r="G16" s="781"/>
      <c r="H16" s="782"/>
    </row>
    <row r="17" spans="3:8" ht="16.5" customHeight="1">
      <c r="C17" s="387" t="s">
        <v>533</v>
      </c>
      <c r="D17" s="388" t="s">
        <v>16</v>
      </c>
      <c r="E17" s="389" t="s">
        <v>47</v>
      </c>
      <c r="F17" s="389" t="s">
        <v>10</v>
      </c>
      <c r="G17" s="389" t="s">
        <v>9</v>
      </c>
      <c r="H17" s="390" t="s">
        <v>42</v>
      </c>
    </row>
    <row r="18" spans="3:8" ht="16.5" customHeight="1">
      <c r="C18" s="384" t="s">
        <v>574</v>
      </c>
      <c r="D18" s="383" t="s">
        <v>32</v>
      </c>
      <c r="E18" s="192" t="s">
        <v>6</v>
      </c>
      <c r="F18" s="192">
        <v>1.1000000000000001</v>
      </c>
      <c r="G18" s="192">
        <f>ROUNDUP(SUM($D$12:$H$12)*F18,0)</f>
        <v>0</v>
      </c>
      <c r="H18" s="197"/>
    </row>
    <row r="19" spans="3:8" ht="16.5" customHeight="1">
      <c r="C19" s="384" t="s">
        <v>575</v>
      </c>
      <c r="D19" s="383" t="s">
        <v>33</v>
      </c>
      <c r="E19" s="192" t="s">
        <v>6</v>
      </c>
      <c r="F19" s="192">
        <v>1.1000000000000001</v>
      </c>
      <c r="G19" s="192">
        <f>ROUNDUP(SUM($D$12:$H$12)*F19,0)</f>
        <v>0</v>
      </c>
      <c r="H19" s="197"/>
    </row>
    <row r="20" spans="3:8" ht="16.5" customHeight="1">
      <c r="C20" s="384" t="s">
        <v>570</v>
      </c>
      <c r="D20" s="383" t="s">
        <v>29</v>
      </c>
      <c r="E20" s="192" t="s">
        <v>6</v>
      </c>
      <c r="F20" s="192">
        <v>1.1000000000000001</v>
      </c>
      <c r="G20" s="192">
        <f>ROUNDUP(SUM($D$12:$H$12)*F20,0)</f>
        <v>0</v>
      </c>
      <c r="H20" s="197"/>
    </row>
    <row r="21" spans="3:8" ht="16.5" customHeight="1">
      <c r="C21" s="384" t="s">
        <v>577</v>
      </c>
      <c r="D21" s="495" t="s">
        <v>604</v>
      </c>
      <c r="E21" s="192" t="s">
        <v>6</v>
      </c>
      <c r="F21" s="375">
        <f>1/20</f>
        <v>0.05</v>
      </c>
      <c r="G21" s="192">
        <f>ROUNDUP(SUM($D$12:$H$12)*F21,0)</f>
        <v>0</v>
      </c>
      <c r="H21" s="197"/>
    </row>
    <row r="22" spans="3:8" ht="16.5" customHeight="1" thickBot="1">
      <c r="C22" s="385" t="s">
        <v>580</v>
      </c>
      <c r="D22" s="386" t="s">
        <v>37</v>
      </c>
      <c r="E22" s="374" t="s">
        <v>6</v>
      </c>
      <c r="F22" s="374">
        <f>1/100</f>
        <v>0.01</v>
      </c>
      <c r="G22" s="374">
        <f>ROUNDUP(SUM($D$12:$H$12)*F22,0)</f>
        <v>0</v>
      </c>
      <c r="H22" s="198"/>
    </row>
  </sheetData>
  <mergeCells count="4">
    <mergeCell ref="C16:H16"/>
    <mergeCell ref="B8:B11"/>
    <mergeCell ref="B3:B7"/>
    <mergeCell ref="B2:H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 filterMode="1"/>
  <dimension ref="A1:HB47"/>
  <sheetViews>
    <sheetView rightToLeft="1" zoomScale="85" zoomScaleNormal="85" workbookViewId="0">
      <pane xSplit="6" topLeftCell="G1" activePane="topRight" state="frozen"/>
      <selection pane="topRight" activeCell="K4" sqref="G4:K4"/>
    </sheetView>
  </sheetViews>
  <sheetFormatPr defaultColWidth="9" defaultRowHeight="13.8"/>
  <cols>
    <col min="1" max="1" width="13.59765625" style="14" bestFit="1" customWidth="1"/>
    <col min="2" max="2" width="5.8984375" style="14" customWidth="1"/>
    <col min="3" max="3" width="22.8984375" style="14" bestFit="1" customWidth="1"/>
    <col min="4" max="4" width="11" style="14" bestFit="1" customWidth="1"/>
    <col min="5" max="5" width="14.3984375" style="14" bestFit="1" customWidth="1"/>
    <col min="6" max="6" width="8.09765625" style="14" hidden="1" customWidth="1"/>
    <col min="7" max="84" width="6.59765625" style="130" customWidth="1"/>
    <col min="85" max="124" width="2.69921875" style="130" hidden="1" customWidth="1"/>
    <col min="125" max="133" width="3.59765625" style="130" hidden="1" customWidth="1"/>
    <col min="134" max="135" width="4.19921875" style="130" hidden="1" customWidth="1"/>
    <col min="136" max="138" width="6.69921875" style="14" hidden="1" customWidth="1"/>
    <col min="139" max="139" width="8.8984375" style="14" customWidth="1"/>
    <col min="140" max="140" width="13.59765625" style="14" bestFit="1" customWidth="1"/>
    <col min="141" max="141" width="13.3984375" customWidth="1"/>
    <col min="142" max="152" width="5.8984375" customWidth="1"/>
    <col min="153" max="153" width="7.69921875" customWidth="1"/>
    <col min="154" max="154" width="5.8984375" customWidth="1"/>
    <col min="155" max="155" width="13.09765625" bestFit="1" customWidth="1"/>
    <col min="156" max="156" width="9.09765625"/>
    <col min="157" max="157" width="10.59765625" bestFit="1" customWidth="1"/>
    <col min="158" max="158" width="10.19921875" bestFit="1" customWidth="1"/>
    <col min="159" max="159" width="5.8984375" bestFit="1" customWidth="1"/>
    <col min="160" max="160" width="10.09765625" bestFit="1" customWidth="1"/>
    <col min="161" max="166" width="9.09765625"/>
    <col min="167" max="167" width="8.8984375" customWidth="1"/>
    <col min="168" max="210" width="9.09765625" customWidth="1"/>
    <col min="211" max="16384" width="9" style="14"/>
  </cols>
  <sheetData>
    <row r="1" spans="1:210" ht="13.5" customHeight="1">
      <c r="A1" s="28"/>
      <c r="B1" s="28"/>
      <c r="C1" s="25"/>
      <c r="D1" s="25"/>
      <c r="E1" s="23" t="s">
        <v>175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24"/>
      <c r="EE1" s="24"/>
      <c r="EF1" s="23"/>
      <c r="EG1" s="23"/>
      <c r="EH1" s="23"/>
      <c r="EI1" s="144"/>
      <c r="EJ1" s="144"/>
    </row>
    <row r="2" spans="1:210" ht="33.75" customHeight="1">
      <c r="A2" s="28"/>
      <c r="B2" s="28"/>
      <c r="C2" s="26"/>
      <c r="D2" s="25"/>
      <c r="E2" s="22" t="s">
        <v>445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24"/>
      <c r="EE2" s="24"/>
      <c r="EF2" s="24"/>
      <c r="EG2" s="24"/>
      <c r="EH2" s="24"/>
      <c r="EI2" s="31" t="s">
        <v>22</v>
      </c>
      <c r="EJ2" s="31" t="s">
        <v>178</v>
      </c>
    </row>
    <row r="3" spans="1:210" ht="20.25" customHeight="1">
      <c r="A3" s="28"/>
      <c r="B3" s="28"/>
      <c r="C3" s="27"/>
      <c r="D3" s="23"/>
      <c r="E3" s="23" t="s">
        <v>174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7"/>
      <c r="BZ3" s="137"/>
      <c r="CA3" s="135"/>
      <c r="CB3" s="135"/>
      <c r="CC3" s="135"/>
      <c r="CD3" s="135"/>
      <c r="CE3" s="135"/>
      <c r="CF3" s="135"/>
      <c r="CG3" s="121">
        <v>60</v>
      </c>
      <c r="CH3" s="121">
        <v>61</v>
      </c>
      <c r="CI3" s="121">
        <v>62</v>
      </c>
      <c r="CJ3" s="121">
        <v>63</v>
      </c>
      <c r="CK3" s="121">
        <v>64</v>
      </c>
      <c r="CL3" s="121">
        <v>65</v>
      </c>
      <c r="CM3" s="121">
        <v>66</v>
      </c>
      <c r="CN3" s="121">
        <v>67</v>
      </c>
      <c r="CO3" s="121">
        <v>68</v>
      </c>
      <c r="CP3" s="121">
        <v>69</v>
      </c>
      <c r="CQ3" s="121">
        <v>70</v>
      </c>
      <c r="CR3" s="121">
        <v>71</v>
      </c>
      <c r="CS3" s="121">
        <v>72</v>
      </c>
      <c r="CT3" s="121">
        <v>73</v>
      </c>
      <c r="CU3" s="121">
        <v>74</v>
      </c>
      <c r="CV3" s="121">
        <v>75</v>
      </c>
      <c r="CW3" s="121">
        <v>76</v>
      </c>
      <c r="CX3" s="121">
        <v>77</v>
      </c>
      <c r="CY3" s="121">
        <v>78</v>
      </c>
      <c r="CZ3" s="121">
        <v>79</v>
      </c>
      <c r="DA3" s="121">
        <v>80</v>
      </c>
      <c r="DB3" s="121">
        <v>81</v>
      </c>
      <c r="DC3" s="121">
        <v>82</v>
      </c>
      <c r="DD3" s="121">
        <v>83</v>
      </c>
      <c r="DE3" s="121">
        <v>84</v>
      </c>
      <c r="DF3" s="121">
        <v>85</v>
      </c>
      <c r="DG3" s="121">
        <v>86</v>
      </c>
      <c r="DH3" s="121">
        <v>87</v>
      </c>
      <c r="DI3" s="121">
        <v>88</v>
      </c>
      <c r="DJ3" s="121">
        <v>89</v>
      </c>
      <c r="DK3" s="121">
        <v>90</v>
      </c>
      <c r="DL3" s="121">
        <v>91</v>
      </c>
      <c r="DM3" s="121">
        <v>92</v>
      </c>
      <c r="DN3" s="121">
        <v>93</v>
      </c>
      <c r="DO3" s="121">
        <v>94</v>
      </c>
      <c r="DP3" s="121">
        <v>95</v>
      </c>
      <c r="DQ3" s="121">
        <v>96</v>
      </c>
      <c r="DR3" s="121">
        <v>97</v>
      </c>
      <c r="DS3" s="121">
        <v>98</v>
      </c>
      <c r="DT3" s="121">
        <v>99</v>
      </c>
      <c r="DU3" s="121">
        <v>100</v>
      </c>
      <c r="DV3" s="121">
        <v>101</v>
      </c>
      <c r="DW3" s="121">
        <v>102</v>
      </c>
      <c r="DX3" s="121">
        <v>103</v>
      </c>
      <c r="DY3" s="121">
        <v>104</v>
      </c>
      <c r="DZ3" s="121">
        <v>105</v>
      </c>
      <c r="EA3" s="121">
        <v>106</v>
      </c>
      <c r="EB3" s="121">
        <v>107</v>
      </c>
      <c r="EC3" s="121">
        <v>108</v>
      </c>
      <c r="ED3" s="24">
        <v>18</v>
      </c>
      <c r="EE3" s="24">
        <v>19</v>
      </c>
      <c r="EF3" s="23">
        <v>20</v>
      </c>
      <c r="EG3" s="23">
        <v>21</v>
      </c>
      <c r="EH3" s="23">
        <v>22</v>
      </c>
      <c r="EI3" s="145"/>
      <c r="EJ3" s="144"/>
    </row>
    <row r="4" spans="1:210" s="20" customFormat="1" ht="15.75" customHeight="1" thickBot="1">
      <c r="A4" s="28"/>
      <c r="B4" s="28"/>
      <c r="C4" s="22"/>
      <c r="D4" s="22"/>
      <c r="E4" s="22" t="s">
        <v>444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3"/>
      <c r="EE4" s="123"/>
      <c r="EF4" s="22"/>
      <c r="EG4" s="22"/>
      <c r="EH4" s="22"/>
      <c r="EI4" s="145">
        <f>SUM(G4:EC4)</f>
        <v>0</v>
      </c>
      <c r="EJ4" s="145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</row>
    <row r="5" spans="1:210" s="20" customFormat="1" ht="15.75" customHeight="1" thickBot="1">
      <c r="A5" s="30" t="s">
        <v>176</v>
      </c>
      <c r="B5" s="39">
        <v>0</v>
      </c>
      <c r="C5" s="21"/>
      <c r="D5" s="21"/>
      <c r="E5" s="21" t="s">
        <v>506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5"/>
      <c r="EE5" s="125"/>
      <c r="EF5" s="21"/>
      <c r="EG5" s="21"/>
      <c r="EH5" s="21"/>
      <c r="EI5" s="145">
        <f>SUM(G5:EH5)</f>
        <v>0</v>
      </c>
      <c r="EJ5" s="146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</row>
    <row r="6" spans="1:210" s="20" customFormat="1" ht="15.75" customHeight="1" thickBot="1">
      <c r="A6" s="29" t="s">
        <v>177</v>
      </c>
      <c r="B6" s="40">
        <v>0</v>
      </c>
      <c r="C6" s="21"/>
      <c r="D6" s="21"/>
      <c r="E6" s="21" t="s">
        <v>173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5"/>
      <c r="EE6" s="125"/>
      <c r="EF6" s="21"/>
      <c r="EG6" s="21"/>
      <c r="EH6" s="21"/>
      <c r="EI6" s="146">
        <f>SUM(G6:EH6)</f>
        <v>0</v>
      </c>
      <c r="EJ6" s="14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</row>
    <row r="7" spans="1:210" s="20" customFormat="1" ht="15.75" customHeight="1">
      <c r="A7" s="21"/>
      <c r="B7" s="21"/>
      <c r="C7" s="21"/>
      <c r="D7" s="21"/>
      <c r="E7" s="21" t="s">
        <v>77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5"/>
      <c r="EE7" s="125"/>
      <c r="EF7" s="21"/>
      <c r="EG7" s="21"/>
      <c r="EH7" s="21"/>
      <c r="EI7" s="146">
        <f>SUM(G7:EH7)</f>
        <v>0</v>
      </c>
      <c r="EJ7" s="146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</row>
    <row r="8" spans="1:210" ht="15.75" customHeight="1" thickBot="1">
      <c r="A8" s="18" t="s">
        <v>172</v>
      </c>
      <c r="B8" s="18"/>
      <c r="C8" s="41" t="s">
        <v>171</v>
      </c>
      <c r="D8" s="792" t="s">
        <v>10</v>
      </c>
      <c r="E8" s="793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7">
        <v>0</v>
      </c>
      <c r="EE8" s="127">
        <v>0</v>
      </c>
      <c r="EF8" s="19">
        <v>0</v>
      </c>
      <c r="EG8" s="19">
        <v>0</v>
      </c>
      <c r="EH8" s="19">
        <v>0</v>
      </c>
      <c r="EI8" s="147">
        <v>0</v>
      </c>
      <c r="EJ8" s="148"/>
    </row>
    <row r="9" spans="1:210" ht="16.2" thickTop="1">
      <c r="A9" s="15" t="s">
        <v>160</v>
      </c>
      <c r="B9" s="15">
        <v>1</v>
      </c>
      <c r="C9" s="15" t="s">
        <v>170</v>
      </c>
      <c r="D9" s="798" t="s">
        <v>169</v>
      </c>
      <c r="E9" s="799"/>
      <c r="F9" s="17">
        <v>1.5</v>
      </c>
      <c r="G9" s="141">
        <f t="shared" ref="G9:U9" si="0">ROUNDUP($F9*G$4,0)</f>
        <v>0</v>
      </c>
      <c r="H9" s="141">
        <f t="shared" si="0"/>
        <v>0</v>
      </c>
      <c r="I9" s="141">
        <f t="shared" si="0"/>
        <v>0</v>
      </c>
      <c r="J9" s="141">
        <f t="shared" si="0"/>
        <v>0</v>
      </c>
      <c r="K9" s="141">
        <f t="shared" si="0"/>
        <v>0</v>
      </c>
      <c r="L9" s="141">
        <f t="shared" si="0"/>
        <v>0</v>
      </c>
      <c r="M9" s="141">
        <f t="shared" si="0"/>
        <v>0</v>
      </c>
      <c r="N9" s="141">
        <f t="shared" si="0"/>
        <v>0</v>
      </c>
      <c r="O9" s="141">
        <f t="shared" si="0"/>
        <v>0</v>
      </c>
      <c r="P9" s="141">
        <f t="shared" si="0"/>
        <v>0</v>
      </c>
      <c r="Q9" s="141">
        <f t="shared" si="0"/>
        <v>0</v>
      </c>
      <c r="R9" s="141">
        <f t="shared" si="0"/>
        <v>0</v>
      </c>
      <c r="S9" s="141">
        <f t="shared" si="0"/>
        <v>0</v>
      </c>
      <c r="T9" s="141">
        <f t="shared" si="0"/>
        <v>0</v>
      </c>
      <c r="U9" s="141">
        <f t="shared" si="0"/>
        <v>0</v>
      </c>
      <c r="V9" s="141">
        <f t="shared" ref="V9:EH9" si="1">ROUNDUP($F9*V$4,0)</f>
        <v>0</v>
      </c>
      <c r="W9" s="141">
        <f t="shared" si="1"/>
        <v>0</v>
      </c>
      <c r="X9" s="141">
        <f t="shared" si="1"/>
        <v>0</v>
      </c>
      <c r="Y9" s="141">
        <f t="shared" si="1"/>
        <v>0</v>
      </c>
      <c r="Z9" s="141">
        <f t="shared" si="1"/>
        <v>0</v>
      </c>
      <c r="AA9" s="141">
        <f t="shared" si="1"/>
        <v>0</v>
      </c>
      <c r="AB9" s="141">
        <f t="shared" si="1"/>
        <v>0</v>
      </c>
      <c r="AC9" s="141">
        <f t="shared" si="1"/>
        <v>0</v>
      </c>
      <c r="AD9" s="141">
        <f t="shared" si="1"/>
        <v>0</v>
      </c>
      <c r="AE9" s="141">
        <f t="shared" si="1"/>
        <v>0</v>
      </c>
      <c r="AF9" s="141">
        <f t="shared" si="1"/>
        <v>0</v>
      </c>
      <c r="AG9" s="141">
        <f t="shared" si="1"/>
        <v>0</v>
      </c>
      <c r="AH9" s="141">
        <f t="shared" si="1"/>
        <v>0</v>
      </c>
      <c r="AI9" s="141">
        <f t="shared" si="1"/>
        <v>0</v>
      </c>
      <c r="AJ9" s="141">
        <f t="shared" si="1"/>
        <v>0</v>
      </c>
      <c r="AK9" s="141">
        <f t="shared" si="1"/>
        <v>0</v>
      </c>
      <c r="AL9" s="141">
        <f t="shared" si="1"/>
        <v>0</v>
      </c>
      <c r="AM9" s="141">
        <f t="shared" si="1"/>
        <v>0</v>
      </c>
      <c r="AN9" s="141">
        <f t="shared" si="1"/>
        <v>0</v>
      </c>
      <c r="AO9" s="141">
        <f t="shared" si="1"/>
        <v>0</v>
      </c>
      <c r="AP9" s="141">
        <f t="shared" si="1"/>
        <v>0</v>
      </c>
      <c r="AQ9" s="141">
        <f t="shared" si="1"/>
        <v>0</v>
      </c>
      <c r="AR9" s="141">
        <f t="shared" si="1"/>
        <v>0</v>
      </c>
      <c r="AS9" s="141">
        <f t="shared" si="1"/>
        <v>0</v>
      </c>
      <c r="AT9" s="141">
        <f t="shared" si="1"/>
        <v>0</v>
      </c>
      <c r="AU9" s="141">
        <f t="shared" si="1"/>
        <v>0</v>
      </c>
      <c r="AV9" s="141">
        <f t="shared" si="1"/>
        <v>0</v>
      </c>
      <c r="AW9" s="141">
        <f t="shared" si="1"/>
        <v>0</v>
      </c>
      <c r="AX9" s="141">
        <f t="shared" si="1"/>
        <v>0</v>
      </c>
      <c r="AY9" s="141">
        <f t="shared" si="1"/>
        <v>0</v>
      </c>
      <c r="AZ9" s="141">
        <f t="shared" si="1"/>
        <v>0</v>
      </c>
      <c r="BA9" s="141">
        <f t="shared" si="1"/>
        <v>0</v>
      </c>
      <c r="BB9" s="141">
        <f t="shared" si="1"/>
        <v>0</v>
      </c>
      <c r="BC9" s="141">
        <f t="shared" si="1"/>
        <v>0</v>
      </c>
      <c r="BD9" s="141">
        <f t="shared" si="1"/>
        <v>0</v>
      </c>
      <c r="BE9" s="141">
        <f t="shared" si="1"/>
        <v>0</v>
      </c>
      <c r="BF9" s="141">
        <f t="shared" si="1"/>
        <v>0</v>
      </c>
      <c r="BG9" s="141">
        <f t="shared" si="1"/>
        <v>0</v>
      </c>
      <c r="BH9" s="141">
        <f t="shared" si="1"/>
        <v>0</v>
      </c>
      <c r="BI9" s="141">
        <f t="shared" si="1"/>
        <v>0</v>
      </c>
      <c r="BJ9" s="141">
        <f t="shared" si="1"/>
        <v>0</v>
      </c>
      <c r="BK9" s="141">
        <f t="shared" si="1"/>
        <v>0</v>
      </c>
      <c r="BL9" s="141">
        <f t="shared" si="1"/>
        <v>0</v>
      </c>
      <c r="BM9" s="141">
        <f t="shared" si="1"/>
        <v>0</v>
      </c>
      <c r="BN9" s="141">
        <f t="shared" si="1"/>
        <v>0</v>
      </c>
      <c r="BO9" s="141">
        <f t="shared" si="1"/>
        <v>0</v>
      </c>
      <c r="BP9" s="141">
        <f t="shared" si="1"/>
        <v>0</v>
      </c>
      <c r="BQ9" s="141">
        <f t="shared" si="1"/>
        <v>0</v>
      </c>
      <c r="BR9" s="141">
        <f t="shared" si="1"/>
        <v>0</v>
      </c>
      <c r="BS9" s="141">
        <f t="shared" si="1"/>
        <v>0</v>
      </c>
      <c r="BT9" s="141">
        <f t="shared" si="1"/>
        <v>0</v>
      </c>
      <c r="BU9" s="141">
        <f t="shared" si="1"/>
        <v>0</v>
      </c>
      <c r="BV9" s="141">
        <f t="shared" si="1"/>
        <v>0</v>
      </c>
      <c r="BW9" s="141">
        <f t="shared" si="1"/>
        <v>0</v>
      </c>
      <c r="BX9" s="141">
        <f t="shared" si="1"/>
        <v>0</v>
      </c>
      <c r="BY9" s="141">
        <f t="shared" si="1"/>
        <v>0</v>
      </c>
      <c r="BZ9" s="141">
        <f t="shared" si="1"/>
        <v>0</v>
      </c>
      <c r="CA9" s="141">
        <f t="shared" si="1"/>
        <v>0</v>
      </c>
      <c r="CB9" s="141">
        <f t="shared" si="1"/>
        <v>0</v>
      </c>
      <c r="CC9" s="141">
        <f t="shared" si="1"/>
        <v>0</v>
      </c>
      <c r="CD9" s="141">
        <f t="shared" si="1"/>
        <v>0</v>
      </c>
      <c r="CE9" s="141">
        <f t="shared" si="1"/>
        <v>0</v>
      </c>
      <c r="CF9" s="141">
        <f t="shared" si="1"/>
        <v>0</v>
      </c>
      <c r="CG9" s="16">
        <f t="shared" si="1"/>
        <v>0</v>
      </c>
      <c r="CH9" s="16">
        <f t="shared" si="1"/>
        <v>0</v>
      </c>
      <c r="CI9" s="16">
        <f t="shared" si="1"/>
        <v>0</v>
      </c>
      <c r="CJ9" s="16">
        <f t="shared" si="1"/>
        <v>0</v>
      </c>
      <c r="CK9" s="16">
        <f t="shared" si="1"/>
        <v>0</v>
      </c>
      <c r="CL9" s="16">
        <f t="shared" si="1"/>
        <v>0</v>
      </c>
      <c r="CM9" s="16">
        <f t="shared" si="1"/>
        <v>0</v>
      </c>
      <c r="CN9" s="16">
        <f t="shared" si="1"/>
        <v>0</v>
      </c>
      <c r="CO9" s="16">
        <f t="shared" si="1"/>
        <v>0</v>
      </c>
      <c r="CP9" s="16">
        <f t="shared" si="1"/>
        <v>0</v>
      </c>
      <c r="CQ9" s="16">
        <f t="shared" si="1"/>
        <v>0</v>
      </c>
      <c r="CR9" s="16">
        <f t="shared" si="1"/>
        <v>0</v>
      </c>
      <c r="CS9" s="16">
        <f t="shared" si="1"/>
        <v>0</v>
      </c>
      <c r="CT9" s="16">
        <f t="shared" si="1"/>
        <v>0</v>
      </c>
      <c r="CU9" s="16">
        <f t="shared" si="1"/>
        <v>0</v>
      </c>
      <c r="CV9" s="16">
        <f t="shared" si="1"/>
        <v>0</v>
      </c>
      <c r="CW9" s="16">
        <f t="shared" si="1"/>
        <v>0</v>
      </c>
      <c r="CX9" s="16">
        <f t="shared" si="1"/>
        <v>0</v>
      </c>
      <c r="CY9" s="16">
        <f t="shared" si="1"/>
        <v>0</v>
      </c>
      <c r="CZ9" s="16">
        <f t="shared" si="1"/>
        <v>0</v>
      </c>
      <c r="DA9" s="16">
        <f t="shared" si="1"/>
        <v>0</v>
      </c>
      <c r="DB9" s="16">
        <f t="shared" si="1"/>
        <v>0</v>
      </c>
      <c r="DC9" s="16">
        <f t="shared" si="1"/>
        <v>0</v>
      </c>
      <c r="DD9" s="16">
        <f t="shared" si="1"/>
        <v>0</v>
      </c>
      <c r="DE9" s="16">
        <f t="shared" si="1"/>
        <v>0</v>
      </c>
      <c r="DF9" s="16">
        <f t="shared" si="1"/>
        <v>0</v>
      </c>
      <c r="DG9" s="16">
        <f t="shared" si="1"/>
        <v>0</v>
      </c>
      <c r="DH9" s="16">
        <f t="shared" si="1"/>
        <v>0</v>
      </c>
      <c r="DI9" s="16">
        <f t="shared" si="1"/>
        <v>0</v>
      </c>
      <c r="DJ9" s="16">
        <f t="shared" si="1"/>
        <v>0</v>
      </c>
      <c r="DK9" s="16">
        <f t="shared" si="1"/>
        <v>0</v>
      </c>
      <c r="DL9" s="16">
        <f t="shared" si="1"/>
        <v>0</v>
      </c>
      <c r="DM9" s="16">
        <f t="shared" si="1"/>
        <v>0</v>
      </c>
      <c r="DN9" s="16">
        <f t="shared" si="1"/>
        <v>0</v>
      </c>
      <c r="DO9" s="16">
        <f t="shared" si="1"/>
        <v>0</v>
      </c>
      <c r="DP9" s="16">
        <f t="shared" si="1"/>
        <v>0</v>
      </c>
      <c r="DQ9" s="16">
        <f t="shared" si="1"/>
        <v>0</v>
      </c>
      <c r="DR9" s="16">
        <f t="shared" si="1"/>
        <v>0</v>
      </c>
      <c r="DS9" s="16">
        <f t="shared" si="1"/>
        <v>0</v>
      </c>
      <c r="DT9" s="16">
        <f t="shared" si="1"/>
        <v>0</v>
      </c>
      <c r="DU9" s="16">
        <f t="shared" si="1"/>
        <v>0</v>
      </c>
      <c r="DV9" s="16">
        <f t="shared" si="1"/>
        <v>0</v>
      </c>
      <c r="DW9" s="16">
        <f t="shared" si="1"/>
        <v>0</v>
      </c>
      <c r="DX9" s="16">
        <f t="shared" si="1"/>
        <v>0</v>
      </c>
      <c r="DY9" s="16">
        <f t="shared" si="1"/>
        <v>0</v>
      </c>
      <c r="DZ9" s="16">
        <f t="shared" si="1"/>
        <v>0</v>
      </c>
      <c r="EA9" s="16">
        <f t="shared" si="1"/>
        <v>0</v>
      </c>
      <c r="EB9" s="16"/>
      <c r="EC9" s="16">
        <f t="shared" si="1"/>
        <v>0</v>
      </c>
      <c r="ED9" s="16">
        <f t="shared" si="1"/>
        <v>0</v>
      </c>
      <c r="EE9" s="16">
        <f t="shared" si="1"/>
        <v>0</v>
      </c>
      <c r="EF9" s="16">
        <f t="shared" si="1"/>
        <v>0</v>
      </c>
      <c r="EG9" s="16">
        <f t="shared" si="1"/>
        <v>0</v>
      </c>
      <c r="EH9" s="16">
        <f t="shared" si="1"/>
        <v>0</v>
      </c>
      <c r="EI9" s="149">
        <f t="shared" ref="EI9:EI27" si="2">SUM(G9:EH9)</f>
        <v>0</v>
      </c>
      <c r="EJ9" s="131">
        <f t="shared" ref="EJ9:EJ27" si="3">EI9*$B$5</f>
        <v>0</v>
      </c>
    </row>
    <row r="10" spans="1:210" ht="15.6">
      <c r="A10" s="15" t="s">
        <v>160</v>
      </c>
      <c r="B10" s="15">
        <v>2</v>
      </c>
      <c r="C10" s="15" t="s">
        <v>168</v>
      </c>
      <c r="D10" s="794" t="s">
        <v>167</v>
      </c>
      <c r="E10" s="795"/>
      <c r="F10" s="17">
        <v>0.16666666666666666</v>
      </c>
      <c r="G10" s="141">
        <f t="shared" ref="G10:U10" si="4">ROUNDUP($F10*(G$4-G6),0)</f>
        <v>0</v>
      </c>
      <c r="H10" s="141">
        <f t="shared" si="4"/>
        <v>0</v>
      </c>
      <c r="I10" s="141">
        <f t="shared" si="4"/>
        <v>0</v>
      </c>
      <c r="J10" s="141">
        <f t="shared" si="4"/>
        <v>0</v>
      </c>
      <c r="K10" s="141">
        <f t="shared" si="4"/>
        <v>0</v>
      </c>
      <c r="L10" s="141">
        <f t="shared" si="4"/>
        <v>0</v>
      </c>
      <c r="M10" s="141">
        <f t="shared" si="4"/>
        <v>0</v>
      </c>
      <c r="N10" s="141">
        <f t="shared" si="4"/>
        <v>0</v>
      </c>
      <c r="O10" s="141">
        <f t="shared" si="4"/>
        <v>0</v>
      </c>
      <c r="P10" s="141">
        <f t="shared" si="4"/>
        <v>0</v>
      </c>
      <c r="Q10" s="141">
        <f t="shared" si="4"/>
        <v>0</v>
      </c>
      <c r="R10" s="141">
        <f t="shared" si="4"/>
        <v>0</v>
      </c>
      <c r="S10" s="141">
        <f t="shared" si="4"/>
        <v>0</v>
      </c>
      <c r="T10" s="141">
        <f t="shared" si="4"/>
        <v>0</v>
      </c>
      <c r="U10" s="141">
        <f t="shared" si="4"/>
        <v>0</v>
      </c>
      <c r="V10" s="141">
        <f t="shared" ref="V10:AZ10" si="5">ROUNDUP($F10*(V$4-V6),0)</f>
        <v>0</v>
      </c>
      <c r="W10" s="141">
        <f t="shared" si="5"/>
        <v>0</v>
      </c>
      <c r="X10" s="141">
        <f t="shared" si="5"/>
        <v>0</v>
      </c>
      <c r="Y10" s="141">
        <f t="shared" si="5"/>
        <v>0</v>
      </c>
      <c r="Z10" s="141">
        <f t="shared" si="5"/>
        <v>0</v>
      </c>
      <c r="AA10" s="141">
        <f t="shared" si="5"/>
        <v>0</v>
      </c>
      <c r="AB10" s="141">
        <f t="shared" si="5"/>
        <v>0</v>
      </c>
      <c r="AC10" s="141">
        <f>ROUNDUP($F10*(AC$4-AC6),0)</f>
        <v>0</v>
      </c>
      <c r="AD10" s="141">
        <f t="shared" si="5"/>
        <v>0</v>
      </c>
      <c r="AE10" s="141">
        <f t="shared" si="5"/>
        <v>0</v>
      </c>
      <c r="AF10" s="141">
        <f t="shared" si="5"/>
        <v>0</v>
      </c>
      <c r="AG10" s="141">
        <f t="shared" si="5"/>
        <v>0</v>
      </c>
      <c r="AH10" s="141">
        <f t="shared" si="5"/>
        <v>0</v>
      </c>
      <c r="AI10" s="141">
        <f>ROUNDUP($F10*(AI$4-AI6),0)</f>
        <v>0</v>
      </c>
      <c r="AJ10" s="141">
        <f t="shared" si="5"/>
        <v>0</v>
      </c>
      <c r="AK10" s="141">
        <f t="shared" si="5"/>
        <v>0</v>
      </c>
      <c r="AL10" s="141">
        <f t="shared" si="5"/>
        <v>0</v>
      </c>
      <c r="AM10" s="141">
        <f t="shared" si="5"/>
        <v>0</v>
      </c>
      <c r="AN10" s="141">
        <f t="shared" si="5"/>
        <v>0</v>
      </c>
      <c r="AO10" s="141">
        <f t="shared" si="5"/>
        <v>0</v>
      </c>
      <c r="AP10" s="141">
        <f t="shared" si="5"/>
        <v>0</v>
      </c>
      <c r="AQ10" s="141">
        <f t="shared" si="5"/>
        <v>0</v>
      </c>
      <c r="AR10" s="141">
        <f t="shared" si="5"/>
        <v>0</v>
      </c>
      <c r="AS10" s="141">
        <f t="shared" si="5"/>
        <v>0</v>
      </c>
      <c r="AT10" s="141">
        <f t="shared" si="5"/>
        <v>0</v>
      </c>
      <c r="AU10" s="141">
        <f t="shared" si="5"/>
        <v>0</v>
      </c>
      <c r="AV10" s="141">
        <f>ROUNDUP($F10*(AV$4-AV6),0)</f>
        <v>0</v>
      </c>
      <c r="AW10" s="141">
        <f t="shared" si="5"/>
        <v>0</v>
      </c>
      <c r="AX10" s="141">
        <f t="shared" si="5"/>
        <v>0</v>
      </c>
      <c r="AY10" s="141">
        <f t="shared" si="5"/>
        <v>0</v>
      </c>
      <c r="AZ10" s="141">
        <f t="shared" si="5"/>
        <v>0</v>
      </c>
      <c r="BA10" s="141">
        <f t="shared" ref="BA10:EH10" si="6">ROUNDUP($F10*(BA$4-BA6),0)</f>
        <v>0</v>
      </c>
      <c r="BB10" s="141">
        <f t="shared" si="6"/>
        <v>0</v>
      </c>
      <c r="BC10" s="141">
        <f t="shared" si="6"/>
        <v>0</v>
      </c>
      <c r="BD10" s="141">
        <f t="shared" si="6"/>
        <v>0</v>
      </c>
      <c r="BE10" s="141">
        <f t="shared" si="6"/>
        <v>0</v>
      </c>
      <c r="BF10" s="141">
        <f t="shared" si="6"/>
        <v>0</v>
      </c>
      <c r="BG10" s="141">
        <f t="shared" ref="BG10:BS10" si="7">ROUNDUP($F10*(BG$4-BG6),0)</f>
        <v>0</v>
      </c>
      <c r="BH10" s="141">
        <f t="shared" si="7"/>
        <v>0</v>
      </c>
      <c r="BI10" s="141">
        <f t="shared" si="7"/>
        <v>0</v>
      </c>
      <c r="BJ10" s="141">
        <f t="shared" si="7"/>
        <v>0</v>
      </c>
      <c r="BK10" s="141">
        <f t="shared" si="7"/>
        <v>0</v>
      </c>
      <c r="BL10" s="141">
        <f t="shared" si="7"/>
        <v>0</v>
      </c>
      <c r="BM10" s="141">
        <f t="shared" si="7"/>
        <v>0</v>
      </c>
      <c r="BN10" s="141">
        <f t="shared" si="7"/>
        <v>0</v>
      </c>
      <c r="BO10" s="141">
        <f t="shared" si="7"/>
        <v>0</v>
      </c>
      <c r="BP10" s="141">
        <f t="shared" si="7"/>
        <v>0</v>
      </c>
      <c r="BQ10" s="141">
        <f t="shared" si="7"/>
        <v>0</v>
      </c>
      <c r="BR10" s="141">
        <f t="shared" si="7"/>
        <v>0</v>
      </c>
      <c r="BS10" s="141">
        <f t="shared" si="7"/>
        <v>0</v>
      </c>
      <c r="BT10" s="141">
        <f t="shared" si="6"/>
        <v>0</v>
      </c>
      <c r="BU10" s="141">
        <f t="shared" si="6"/>
        <v>0</v>
      </c>
      <c r="BV10" s="141">
        <f t="shared" si="6"/>
        <v>0</v>
      </c>
      <c r="BW10" s="141">
        <f t="shared" si="6"/>
        <v>0</v>
      </c>
      <c r="BX10" s="141">
        <f t="shared" si="6"/>
        <v>0</v>
      </c>
      <c r="BY10" s="141">
        <f>ROUNDUP($F10*(BY$4-BY6),0)</f>
        <v>0</v>
      </c>
      <c r="BZ10" s="141">
        <f>ROUNDUP($F10*(BZ$4-BZ6),0)</f>
        <v>0</v>
      </c>
      <c r="CA10" s="141">
        <f t="shared" si="6"/>
        <v>0</v>
      </c>
      <c r="CB10" s="141">
        <f t="shared" si="6"/>
        <v>0</v>
      </c>
      <c r="CC10" s="141">
        <f t="shared" si="6"/>
        <v>0</v>
      </c>
      <c r="CD10" s="141">
        <f t="shared" si="6"/>
        <v>0</v>
      </c>
      <c r="CE10" s="141">
        <f>ROUNDUP($F10*(CE$4-CE6),0)</f>
        <v>0</v>
      </c>
      <c r="CF10" s="141">
        <f t="shared" si="6"/>
        <v>0</v>
      </c>
      <c r="CG10" s="16">
        <f t="shared" si="6"/>
        <v>0</v>
      </c>
      <c r="CH10" s="16">
        <f t="shared" si="6"/>
        <v>0</v>
      </c>
      <c r="CI10" s="16">
        <f t="shared" si="6"/>
        <v>0</v>
      </c>
      <c r="CJ10" s="16">
        <f t="shared" si="6"/>
        <v>0</v>
      </c>
      <c r="CK10" s="16">
        <f t="shared" si="6"/>
        <v>0</v>
      </c>
      <c r="CL10" s="16">
        <f t="shared" si="6"/>
        <v>0</v>
      </c>
      <c r="CM10" s="16">
        <f t="shared" si="6"/>
        <v>0</v>
      </c>
      <c r="CN10" s="16">
        <f t="shared" si="6"/>
        <v>0</v>
      </c>
      <c r="CO10" s="16">
        <f t="shared" si="6"/>
        <v>0</v>
      </c>
      <c r="CP10" s="16">
        <f t="shared" si="6"/>
        <v>0</v>
      </c>
      <c r="CQ10" s="16">
        <f t="shared" si="6"/>
        <v>0</v>
      </c>
      <c r="CR10" s="16">
        <f t="shared" si="6"/>
        <v>0</v>
      </c>
      <c r="CS10" s="16">
        <f t="shared" ref="CS10:DG10" si="8">ROUNDUP($F10*(CS$4-CS6),0)</f>
        <v>0</v>
      </c>
      <c r="CT10" s="16">
        <f t="shared" si="8"/>
        <v>0</v>
      </c>
      <c r="CU10" s="16">
        <f t="shared" si="8"/>
        <v>0</v>
      </c>
      <c r="CV10" s="16">
        <f t="shared" si="8"/>
        <v>0</v>
      </c>
      <c r="CW10" s="16">
        <f t="shared" si="8"/>
        <v>0</v>
      </c>
      <c r="CX10" s="16">
        <f t="shared" si="8"/>
        <v>0</v>
      </c>
      <c r="CY10" s="16">
        <f t="shared" si="8"/>
        <v>0</v>
      </c>
      <c r="CZ10" s="16">
        <f t="shared" si="8"/>
        <v>0</v>
      </c>
      <c r="DA10" s="16">
        <f t="shared" si="8"/>
        <v>0</v>
      </c>
      <c r="DB10" s="16">
        <f t="shared" si="8"/>
        <v>0</v>
      </c>
      <c r="DC10" s="16">
        <f t="shared" si="8"/>
        <v>0</v>
      </c>
      <c r="DD10" s="16">
        <f t="shared" si="8"/>
        <v>0</v>
      </c>
      <c r="DE10" s="16">
        <f t="shared" si="8"/>
        <v>0</v>
      </c>
      <c r="DF10" s="16">
        <f t="shared" si="8"/>
        <v>0</v>
      </c>
      <c r="DG10" s="16">
        <f t="shared" si="8"/>
        <v>0</v>
      </c>
      <c r="DH10" s="16">
        <f t="shared" si="6"/>
        <v>0</v>
      </c>
      <c r="DI10" s="16">
        <f t="shared" si="6"/>
        <v>0</v>
      </c>
      <c r="DJ10" s="16">
        <f t="shared" si="6"/>
        <v>0</v>
      </c>
      <c r="DK10" s="16">
        <f t="shared" si="6"/>
        <v>0</v>
      </c>
      <c r="DL10" s="16">
        <f t="shared" si="6"/>
        <v>0</v>
      </c>
      <c r="DM10" s="16">
        <f t="shared" si="6"/>
        <v>0</v>
      </c>
      <c r="DN10" s="16">
        <f t="shared" si="6"/>
        <v>0</v>
      </c>
      <c r="DO10" s="16">
        <f t="shared" si="6"/>
        <v>0</v>
      </c>
      <c r="DP10" s="16">
        <f t="shared" si="6"/>
        <v>0</v>
      </c>
      <c r="DQ10" s="16">
        <f t="shared" si="6"/>
        <v>0</v>
      </c>
      <c r="DR10" s="16">
        <f t="shared" si="6"/>
        <v>0</v>
      </c>
      <c r="DS10" s="16">
        <f t="shared" si="6"/>
        <v>0</v>
      </c>
      <c r="DT10" s="16">
        <f t="shared" si="6"/>
        <v>0</v>
      </c>
      <c r="DU10" s="16">
        <f t="shared" si="6"/>
        <v>0</v>
      </c>
      <c r="DV10" s="16">
        <f t="shared" si="6"/>
        <v>0</v>
      </c>
      <c r="DW10" s="16">
        <f t="shared" si="6"/>
        <v>0</v>
      </c>
      <c r="DX10" s="16">
        <f t="shared" si="6"/>
        <v>0</v>
      </c>
      <c r="DY10" s="16">
        <f t="shared" si="6"/>
        <v>0</v>
      </c>
      <c r="DZ10" s="16">
        <f t="shared" si="6"/>
        <v>0</v>
      </c>
      <c r="EA10" s="16">
        <f t="shared" si="6"/>
        <v>0</v>
      </c>
      <c r="EB10" s="16"/>
      <c r="EC10" s="16">
        <f t="shared" si="6"/>
        <v>0</v>
      </c>
      <c r="ED10" s="16">
        <f t="shared" si="6"/>
        <v>0</v>
      </c>
      <c r="EE10" s="16">
        <f t="shared" si="6"/>
        <v>0</v>
      </c>
      <c r="EF10" s="16">
        <f t="shared" si="6"/>
        <v>0</v>
      </c>
      <c r="EG10" s="16">
        <f t="shared" si="6"/>
        <v>0</v>
      </c>
      <c r="EH10" s="16">
        <f t="shared" si="6"/>
        <v>0</v>
      </c>
      <c r="EI10" s="149">
        <f t="shared" si="2"/>
        <v>0</v>
      </c>
      <c r="EJ10" s="132">
        <f t="shared" si="3"/>
        <v>0</v>
      </c>
    </row>
    <row r="11" spans="1:210" ht="15.6">
      <c r="A11" s="15" t="s">
        <v>160</v>
      </c>
      <c r="B11" s="15">
        <v>3</v>
      </c>
      <c r="C11" s="119" t="s">
        <v>71</v>
      </c>
      <c r="D11" s="794" t="s">
        <v>166</v>
      </c>
      <c r="E11" s="795"/>
      <c r="F11" s="17">
        <v>0.14285714285714285</v>
      </c>
      <c r="G11" s="141">
        <f t="shared" ref="G11:U11" si="9">ROUNDUP($F11*(G$4-G6),0)</f>
        <v>0</v>
      </c>
      <c r="H11" s="141">
        <f t="shared" si="9"/>
        <v>0</v>
      </c>
      <c r="I11" s="141">
        <f t="shared" si="9"/>
        <v>0</v>
      </c>
      <c r="J11" s="141">
        <f t="shared" si="9"/>
        <v>0</v>
      </c>
      <c r="K11" s="141">
        <f t="shared" si="9"/>
        <v>0</v>
      </c>
      <c r="L11" s="141">
        <f t="shared" si="9"/>
        <v>0</v>
      </c>
      <c r="M11" s="141">
        <f t="shared" si="9"/>
        <v>0</v>
      </c>
      <c r="N11" s="141">
        <f t="shared" si="9"/>
        <v>0</v>
      </c>
      <c r="O11" s="141">
        <f t="shared" si="9"/>
        <v>0</v>
      </c>
      <c r="P11" s="141">
        <f t="shared" si="9"/>
        <v>0</v>
      </c>
      <c r="Q11" s="141">
        <f t="shared" si="9"/>
        <v>0</v>
      </c>
      <c r="R11" s="141">
        <f t="shared" si="9"/>
        <v>0</v>
      </c>
      <c r="S11" s="141">
        <f t="shared" si="9"/>
        <v>0</v>
      </c>
      <c r="T11" s="141">
        <f t="shared" si="9"/>
        <v>0</v>
      </c>
      <c r="U11" s="141">
        <f t="shared" si="9"/>
        <v>0</v>
      </c>
      <c r="V11" s="141">
        <f t="shared" ref="V11:AZ11" si="10">ROUNDUP($F11*(V$4-V6),0)</f>
        <v>0</v>
      </c>
      <c r="W11" s="141">
        <f t="shared" si="10"/>
        <v>0</v>
      </c>
      <c r="X11" s="141">
        <f t="shared" si="10"/>
        <v>0</v>
      </c>
      <c r="Y11" s="141">
        <f t="shared" si="10"/>
        <v>0</v>
      </c>
      <c r="Z11" s="141">
        <f t="shared" si="10"/>
        <v>0</v>
      </c>
      <c r="AA11" s="141">
        <f t="shared" si="10"/>
        <v>0</v>
      </c>
      <c r="AB11" s="141">
        <f t="shared" si="10"/>
        <v>0</v>
      </c>
      <c r="AC11" s="141">
        <f>ROUNDUP($F11*(AC$4-AC6),0)</f>
        <v>0</v>
      </c>
      <c r="AD11" s="141">
        <f t="shared" si="10"/>
        <v>0</v>
      </c>
      <c r="AE11" s="141">
        <f t="shared" si="10"/>
        <v>0</v>
      </c>
      <c r="AF11" s="141">
        <f t="shared" si="10"/>
        <v>0</v>
      </c>
      <c r="AG11" s="141">
        <f t="shared" si="10"/>
        <v>0</v>
      </c>
      <c r="AH11" s="141">
        <f t="shared" si="10"/>
        <v>0</v>
      </c>
      <c r="AI11" s="141">
        <f>ROUNDUP($F11*(AI$4-AI6),0)</f>
        <v>0</v>
      </c>
      <c r="AJ11" s="141">
        <f t="shared" si="10"/>
        <v>0</v>
      </c>
      <c r="AK11" s="141">
        <f t="shared" si="10"/>
        <v>0</v>
      </c>
      <c r="AL11" s="141">
        <f t="shared" si="10"/>
        <v>0</v>
      </c>
      <c r="AM11" s="141">
        <f t="shared" si="10"/>
        <v>0</v>
      </c>
      <c r="AN11" s="141">
        <f t="shared" si="10"/>
        <v>0</v>
      </c>
      <c r="AO11" s="141">
        <f t="shared" si="10"/>
        <v>0</v>
      </c>
      <c r="AP11" s="141">
        <f t="shared" si="10"/>
        <v>0</v>
      </c>
      <c r="AQ11" s="141">
        <f t="shared" si="10"/>
        <v>0</v>
      </c>
      <c r="AR11" s="141">
        <f t="shared" si="10"/>
        <v>0</v>
      </c>
      <c r="AS11" s="141">
        <f t="shared" si="10"/>
        <v>0</v>
      </c>
      <c r="AT11" s="141">
        <f t="shared" si="10"/>
        <v>0</v>
      </c>
      <c r="AU11" s="141">
        <f t="shared" si="10"/>
        <v>0</v>
      </c>
      <c r="AV11" s="141">
        <f>ROUNDUP($F11*(AV$4-AV6),0)</f>
        <v>0</v>
      </c>
      <c r="AW11" s="141">
        <f t="shared" si="10"/>
        <v>0</v>
      </c>
      <c r="AX11" s="141">
        <f t="shared" si="10"/>
        <v>0</v>
      </c>
      <c r="AY11" s="141">
        <f t="shared" si="10"/>
        <v>0</v>
      </c>
      <c r="AZ11" s="141">
        <f t="shared" si="10"/>
        <v>0</v>
      </c>
      <c r="BA11" s="141">
        <f t="shared" ref="BA11:EH11" si="11">ROUNDUP($F11*(BA$4-BA6),0)</f>
        <v>0</v>
      </c>
      <c r="BB11" s="141">
        <f t="shared" si="11"/>
        <v>0</v>
      </c>
      <c r="BC11" s="141">
        <f t="shared" si="11"/>
        <v>0</v>
      </c>
      <c r="BD11" s="141">
        <f t="shared" si="11"/>
        <v>0</v>
      </c>
      <c r="BE11" s="141">
        <f t="shared" si="11"/>
        <v>0</v>
      </c>
      <c r="BF11" s="141">
        <f t="shared" si="11"/>
        <v>0</v>
      </c>
      <c r="BG11" s="141">
        <f t="shared" ref="BG11:BS11" si="12">ROUNDUP($F11*(BG$4-BG6),0)</f>
        <v>0</v>
      </c>
      <c r="BH11" s="141">
        <f t="shared" si="12"/>
        <v>0</v>
      </c>
      <c r="BI11" s="141">
        <f t="shared" si="12"/>
        <v>0</v>
      </c>
      <c r="BJ11" s="141">
        <f t="shared" si="12"/>
        <v>0</v>
      </c>
      <c r="BK11" s="141">
        <f t="shared" si="12"/>
        <v>0</v>
      </c>
      <c r="BL11" s="141">
        <f t="shared" si="12"/>
        <v>0</v>
      </c>
      <c r="BM11" s="141">
        <f t="shared" si="12"/>
        <v>0</v>
      </c>
      <c r="BN11" s="141">
        <f t="shared" si="12"/>
        <v>0</v>
      </c>
      <c r="BO11" s="141">
        <f t="shared" si="12"/>
        <v>0</v>
      </c>
      <c r="BP11" s="141">
        <f t="shared" si="12"/>
        <v>0</v>
      </c>
      <c r="BQ11" s="141">
        <f t="shared" si="12"/>
        <v>0</v>
      </c>
      <c r="BR11" s="141">
        <f t="shared" si="12"/>
        <v>0</v>
      </c>
      <c r="BS11" s="141">
        <f t="shared" si="12"/>
        <v>0</v>
      </c>
      <c r="BT11" s="141">
        <f t="shared" si="11"/>
        <v>0</v>
      </c>
      <c r="BU11" s="141">
        <f t="shared" si="11"/>
        <v>0</v>
      </c>
      <c r="BV11" s="141">
        <f t="shared" si="11"/>
        <v>0</v>
      </c>
      <c r="BW11" s="141">
        <f t="shared" si="11"/>
        <v>0</v>
      </c>
      <c r="BX11" s="141">
        <f t="shared" si="11"/>
        <v>0</v>
      </c>
      <c r="BY11" s="141">
        <f>ROUNDUP($F11*(BY$4-BY6),0)</f>
        <v>0</v>
      </c>
      <c r="BZ11" s="141">
        <f>ROUNDUP($F11*(BZ$4-BZ6),0)</f>
        <v>0</v>
      </c>
      <c r="CA11" s="141">
        <f t="shared" si="11"/>
        <v>0</v>
      </c>
      <c r="CB11" s="141">
        <f t="shared" si="11"/>
        <v>0</v>
      </c>
      <c r="CC11" s="141">
        <f t="shared" si="11"/>
        <v>0</v>
      </c>
      <c r="CD11" s="141">
        <f t="shared" si="11"/>
        <v>0</v>
      </c>
      <c r="CE11" s="141">
        <f>ROUNDUP($F11*(CE$4-CE6),0)</f>
        <v>0</v>
      </c>
      <c r="CF11" s="141">
        <f t="shared" si="11"/>
        <v>0</v>
      </c>
      <c r="CG11" s="16">
        <f t="shared" si="11"/>
        <v>0</v>
      </c>
      <c r="CH11" s="16">
        <f t="shared" si="11"/>
        <v>0</v>
      </c>
      <c r="CI11" s="16">
        <f t="shared" si="11"/>
        <v>0</v>
      </c>
      <c r="CJ11" s="16">
        <f t="shared" si="11"/>
        <v>0</v>
      </c>
      <c r="CK11" s="16">
        <f t="shared" si="11"/>
        <v>0</v>
      </c>
      <c r="CL11" s="16">
        <f t="shared" si="11"/>
        <v>0</v>
      </c>
      <c r="CM11" s="16">
        <f t="shared" si="11"/>
        <v>0</v>
      </c>
      <c r="CN11" s="16">
        <f t="shared" si="11"/>
        <v>0</v>
      </c>
      <c r="CO11" s="16">
        <f t="shared" si="11"/>
        <v>0</v>
      </c>
      <c r="CP11" s="16">
        <f t="shared" si="11"/>
        <v>0</v>
      </c>
      <c r="CQ11" s="16">
        <f t="shared" si="11"/>
        <v>0</v>
      </c>
      <c r="CR11" s="16">
        <f t="shared" si="11"/>
        <v>0</v>
      </c>
      <c r="CS11" s="16">
        <f t="shared" ref="CS11:DG11" si="13">ROUNDUP($F11*(CS$4-CS6),0)</f>
        <v>0</v>
      </c>
      <c r="CT11" s="16">
        <f t="shared" si="13"/>
        <v>0</v>
      </c>
      <c r="CU11" s="16">
        <f t="shared" si="13"/>
        <v>0</v>
      </c>
      <c r="CV11" s="16">
        <f t="shared" si="13"/>
        <v>0</v>
      </c>
      <c r="CW11" s="16">
        <f t="shared" si="13"/>
        <v>0</v>
      </c>
      <c r="CX11" s="16">
        <f t="shared" si="13"/>
        <v>0</v>
      </c>
      <c r="CY11" s="16">
        <f t="shared" si="13"/>
        <v>0</v>
      </c>
      <c r="CZ11" s="16">
        <f t="shared" si="13"/>
        <v>0</v>
      </c>
      <c r="DA11" s="16">
        <f t="shared" si="13"/>
        <v>0</v>
      </c>
      <c r="DB11" s="16">
        <f t="shared" si="13"/>
        <v>0</v>
      </c>
      <c r="DC11" s="16">
        <f t="shared" si="13"/>
        <v>0</v>
      </c>
      <c r="DD11" s="16">
        <f t="shared" si="13"/>
        <v>0</v>
      </c>
      <c r="DE11" s="16">
        <f t="shared" si="13"/>
        <v>0</v>
      </c>
      <c r="DF11" s="16">
        <f t="shared" si="13"/>
        <v>0</v>
      </c>
      <c r="DG11" s="16">
        <f t="shared" si="13"/>
        <v>0</v>
      </c>
      <c r="DH11" s="16">
        <f t="shared" si="11"/>
        <v>0</v>
      </c>
      <c r="DI11" s="16">
        <f t="shared" si="11"/>
        <v>0</v>
      </c>
      <c r="DJ11" s="16">
        <f t="shared" si="11"/>
        <v>0</v>
      </c>
      <c r="DK11" s="16">
        <f t="shared" si="11"/>
        <v>0</v>
      </c>
      <c r="DL11" s="16">
        <f t="shared" si="11"/>
        <v>0</v>
      </c>
      <c r="DM11" s="16">
        <f t="shared" si="11"/>
        <v>0</v>
      </c>
      <c r="DN11" s="16">
        <f t="shared" si="11"/>
        <v>0</v>
      </c>
      <c r="DO11" s="16">
        <f t="shared" si="11"/>
        <v>0</v>
      </c>
      <c r="DP11" s="16">
        <f t="shared" si="11"/>
        <v>0</v>
      </c>
      <c r="DQ11" s="16">
        <f t="shared" si="11"/>
        <v>0</v>
      </c>
      <c r="DR11" s="16">
        <f t="shared" si="11"/>
        <v>0</v>
      </c>
      <c r="DS11" s="16">
        <f t="shared" si="11"/>
        <v>0</v>
      </c>
      <c r="DT11" s="16">
        <f t="shared" si="11"/>
        <v>0</v>
      </c>
      <c r="DU11" s="16">
        <f t="shared" si="11"/>
        <v>0</v>
      </c>
      <c r="DV11" s="16">
        <f t="shared" si="11"/>
        <v>0</v>
      </c>
      <c r="DW11" s="16">
        <f t="shared" si="11"/>
        <v>0</v>
      </c>
      <c r="DX11" s="16">
        <f t="shared" si="11"/>
        <v>0</v>
      </c>
      <c r="DY11" s="16">
        <f t="shared" si="11"/>
        <v>0</v>
      </c>
      <c r="DZ11" s="16">
        <f t="shared" si="11"/>
        <v>0</v>
      </c>
      <c r="EA11" s="16">
        <f t="shared" si="11"/>
        <v>0</v>
      </c>
      <c r="EB11" s="16"/>
      <c r="EC11" s="16">
        <f t="shared" si="11"/>
        <v>0</v>
      </c>
      <c r="ED11" s="16">
        <f t="shared" si="11"/>
        <v>0</v>
      </c>
      <c r="EE11" s="16">
        <f t="shared" si="11"/>
        <v>0</v>
      </c>
      <c r="EF11" s="16">
        <f t="shared" si="11"/>
        <v>0</v>
      </c>
      <c r="EG11" s="16">
        <f t="shared" si="11"/>
        <v>0</v>
      </c>
      <c r="EH11" s="16">
        <f t="shared" si="11"/>
        <v>0</v>
      </c>
      <c r="EI11" s="149">
        <f t="shared" si="2"/>
        <v>0</v>
      </c>
      <c r="EJ11" s="132">
        <f t="shared" si="3"/>
        <v>0</v>
      </c>
    </row>
    <row r="12" spans="1:210" ht="15.6">
      <c r="A12" s="15" t="s">
        <v>160</v>
      </c>
      <c r="B12" s="15">
        <v>4</v>
      </c>
      <c r="C12" s="119" t="s">
        <v>70</v>
      </c>
      <c r="D12" s="794" t="s">
        <v>165</v>
      </c>
      <c r="E12" s="795"/>
      <c r="F12" s="17">
        <v>1</v>
      </c>
      <c r="G12" s="141">
        <f t="shared" ref="G12:U12" si="14">ROUNDUP($F12*G$4,0)</f>
        <v>0</v>
      </c>
      <c r="H12" s="141">
        <f t="shared" si="14"/>
        <v>0</v>
      </c>
      <c r="I12" s="141">
        <f t="shared" si="14"/>
        <v>0</v>
      </c>
      <c r="J12" s="141">
        <f t="shared" si="14"/>
        <v>0</v>
      </c>
      <c r="K12" s="141">
        <f t="shared" si="14"/>
        <v>0</v>
      </c>
      <c r="L12" s="141">
        <f t="shared" si="14"/>
        <v>0</v>
      </c>
      <c r="M12" s="141">
        <f t="shared" si="14"/>
        <v>0</v>
      </c>
      <c r="N12" s="141">
        <f t="shared" si="14"/>
        <v>0</v>
      </c>
      <c r="O12" s="141">
        <f t="shared" si="14"/>
        <v>0</v>
      </c>
      <c r="P12" s="141">
        <f t="shared" si="14"/>
        <v>0</v>
      </c>
      <c r="Q12" s="141">
        <f t="shared" si="14"/>
        <v>0</v>
      </c>
      <c r="R12" s="141">
        <f t="shared" si="14"/>
        <v>0</v>
      </c>
      <c r="S12" s="141">
        <f t="shared" si="14"/>
        <v>0</v>
      </c>
      <c r="T12" s="141">
        <f t="shared" si="14"/>
        <v>0</v>
      </c>
      <c r="U12" s="141">
        <f t="shared" si="14"/>
        <v>0</v>
      </c>
      <c r="V12" s="141">
        <f t="shared" ref="V12:EH12" si="15">ROUNDUP($F12*V$4,0)</f>
        <v>0</v>
      </c>
      <c r="W12" s="141">
        <f t="shared" si="15"/>
        <v>0</v>
      </c>
      <c r="X12" s="141">
        <f t="shared" si="15"/>
        <v>0</v>
      </c>
      <c r="Y12" s="141">
        <f t="shared" si="15"/>
        <v>0</v>
      </c>
      <c r="Z12" s="141">
        <f t="shared" si="15"/>
        <v>0</v>
      </c>
      <c r="AA12" s="141">
        <f t="shared" si="15"/>
        <v>0</v>
      </c>
      <c r="AB12" s="141">
        <f t="shared" si="15"/>
        <v>0</v>
      </c>
      <c r="AC12" s="141">
        <f t="shared" si="15"/>
        <v>0</v>
      </c>
      <c r="AD12" s="141">
        <f t="shared" si="15"/>
        <v>0</v>
      </c>
      <c r="AE12" s="141">
        <f t="shared" si="15"/>
        <v>0</v>
      </c>
      <c r="AF12" s="141">
        <f t="shared" si="15"/>
        <v>0</v>
      </c>
      <c r="AG12" s="141">
        <f t="shared" si="15"/>
        <v>0</v>
      </c>
      <c r="AH12" s="141">
        <f t="shared" si="15"/>
        <v>0</v>
      </c>
      <c r="AI12" s="141">
        <f t="shared" si="15"/>
        <v>0</v>
      </c>
      <c r="AJ12" s="141">
        <f t="shared" si="15"/>
        <v>0</v>
      </c>
      <c r="AK12" s="141">
        <f t="shared" si="15"/>
        <v>0</v>
      </c>
      <c r="AL12" s="141">
        <f t="shared" si="15"/>
        <v>0</v>
      </c>
      <c r="AM12" s="141">
        <f t="shared" si="15"/>
        <v>0</v>
      </c>
      <c r="AN12" s="141">
        <f t="shared" si="15"/>
        <v>0</v>
      </c>
      <c r="AO12" s="141">
        <f t="shared" si="15"/>
        <v>0</v>
      </c>
      <c r="AP12" s="141">
        <f t="shared" si="15"/>
        <v>0</v>
      </c>
      <c r="AQ12" s="141">
        <f t="shared" si="15"/>
        <v>0</v>
      </c>
      <c r="AR12" s="141">
        <f t="shared" si="15"/>
        <v>0</v>
      </c>
      <c r="AS12" s="141">
        <f t="shared" si="15"/>
        <v>0</v>
      </c>
      <c r="AT12" s="141">
        <f t="shared" si="15"/>
        <v>0</v>
      </c>
      <c r="AU12" s="141">
        <f t="shared" si="15"/>
        <v>0</v>
      </c>
      <c r="AV12" s="141">
        <f t="shared" si="15"/>
        <v>0</v>
      </c>
      <c r="AW12" s="141">
        <f t="shared" si="15"/>
        <v>0</v>
      </c>
      <c r="AX12" s="141">
        <f t="shared" si="15"/>
        <v>0</v>
      </c>
      <c r="AY12" s="141">
        <f t="shared" si="15"/>
        <v>0</v>
      </c>
      <c r="AZ12" s="141">
        <f t="shared" si="15"/>
        <v>0</v>
      </c>
      <c r="BA12" s="141">
        <f t="shared" si="15"/>
        <v>0</v>
      </c>
      <c r="BB12" s="141">
        <f t="shared" si="15"/>
        <v>0</v>
      </c>
      <c r="BC12" s="141">
        <f t="shared" si="15"/>
        <v>0</v>
      </c>
      <c r="BD12" s="141">
        <f t="shared" si="15"/>
        <v>0</v>
      </c>
      <c r="BE12" s="141">
        <f t="shared" si="15"/>
        <v>0</v>
      </c>
      <c r="BF12" s="141">
        <f t="shared" si="15"/>
        <v>0</v>
      </c>
      <c r="BG12" s="141">
        <f t="shared" si="15"/>
        <v>0</v>
      </c>
      <c r="BH12" s="141">
        <f t="shared" si="15"/>
        <v>0</v>
      </c>
      <c r="BI12" s="141">
        <f t="shared" si="15"/>
        <v>0</v>
      </c>
      <c r="BJ12" s="141">
        <f t="shared" si="15"/>
        <v>0</v>
      </c>
      <c r="BK12" s="141">
        <f t="shared" si="15"/>
        <v>0</v>
      </c>
      <c r="BL12" s="141">
        <f t="shared" si="15"/>
        <v>0</v>
      </c>
      <c r="BM12" s="141">
        <f t="shared" si="15"/>
        <v>0</v>
      </c>
      <c r="BN12" s="141">
        <f t="shared" si="15"/>
        <v>0</v>
      </c>
      <c r="BO12" s="141">
        <f t="shared" si="15"/>
        <v>0</v>
      </c>
      <c r="BP12" s="141">
        <f t="shared" si="15"/>
        <v>0</v>
      </c>
      <c r="BQ12" s="141">
        <f t="shared" si="15"/>
        <v>0</v>
      </c>
      <c r="BR12" s="141">
        <f t="shared" si="15"/>
        <v>0</v>
      </c>
      <c r="BS12" s="141">
        <f t="shared" si="15"/>
        <v>0</v>
      </c>
      <c r="BT12" s="141">
        <f t="shared" si="15"/>
        <v>0</v>
      </c>
      <c r="BU12" s="141">
        <f t="shared" si="15"/>
        <v>0</v>
      </c>
      <c r="BV12" s="141">
        <f t="shared" si="15"/>
        <v>0</v>
      </c>
      <c r="BW12" s="141">
        <f t="shared" si="15"/>
        <v>0</v>
      </c>
      <c r="BX12" s="141">
        <f t="shared" si="15"/>
        <v>0</v>
      </c>
      <c r="BY12" s="141">
        <f t="shared" si="15"/>
        <v>0</v>
      </c>
      <c r="BZ12" s="141">
        <f t="shared" si="15"/>
        <v>0</v>
      </c>
      <c r="CA12" s="141">
        <f t="shared" si="15"/>
        <v>0</v>
      </c>
      <c r="CB12" s="141">
        <f t="shared" si="15"/>
        <v>0</v>
      </c>
      <c r="CC12" s="141">
        <f t="shared" si="15"/>
        <v>0</v>
      </c>
      <c r="CD12" s="141">
        <f t="shared" si="15"/>
        <v>0</v>
      </c>
      <c r="CE12" s="141">
        <f t="shared" si="15"/>
        <v>0</v>
      </c>
      <c r="CF12" s="141">
        <f t="shared" si="15"/>
        <v>0</v>
      </c>
      <c r="CG12" s="16">
        <f t="shared" si="15"/>
        <v>0</v>
      </c>
      <c r="CH12" s="16">
        <f t="shared" si="15"/>
        <v>0</v>
      </c>
      <c r="CI12" s="16">
        <f t="shared" si="15"/>
        <v>0</v>
      </c>
      <c r="CJ12" s="16">
        <f t="shared" si="15"/>
        <v>0</v>
      </c>
      <c r="CK12" s="16">
        <f t="shared" si="15"/>
        <v>0</v>
      </c>
      <c r="CL12" s="16">
        <f t="shared" si="15"/>
        <v>0</v>
      </c>
      <c r="CM12" s="16">
        <f t="shared" si="15"/>
        <v>0</v>
      </c>
      <c r="CN12" s="16">
        <f t="shared" si="15"/>
        <v>0</v>
      </c>
      <c r="CO12" s="16">
        <f t="shared" si="15"/>
        <v>0</v>
      </c>
      <c r="CP12" s="16">
        <f t="shared" si="15"/>
        <v>0</v>
      </c>
      <c r="CQ12" s="16">
        <f t="shared" si="15"/>
        <v>0</v>
      </c>
      <c r="CR12" s="16">
        <f t="shared" si="15"/>
        <v>0</v>
      </c>
      <c r="CS12" s="16">
        <f t="shared" si="15"/>
        <v>0</v>
      </c>
      <c r="CT12" s="16">
        <f t="shared" si="15"/>
        <v>0</v>
      </c>
      <c r="CU12" s="16">
        <f t="shared" si="15"/>
        <v>0</v>
      </c>
      <c r="CV12" s="16">
        <f t="shared" si="15"/>
        <v>0</v>
      </c>
      <c r="CW12" s="16">
        <f t="shared" si="15"/>
        <v>0</v>
      </c>
      <c r="CX12" s="16">
        <f t="shared" si="15"/>
        <v>0</v>
      </c>
      <c r="CY12" s="16">
        <f t="shared" si="15"/>
        <v>0</v>
      </c>
      <c r="CZ12" s="16">
        <f t="shared" si="15"/>
        <v>0</v>
      </c>
      <c r="DA12" s="16">
        <f t="shared" si="15"/>
        <v>0</v>
      </c>
      <c r="DB12" s="16">
        <f t="shared" si="15"/>
        <v>0</v>
      </c>
      <c r="DC12" s="16">
        <f t="shared" si="15"/>
        <v>0</v>
      </c>
      <c r="DD12" s="16">
        <f t="shared" si="15"/>
        <v>0</v>
      </c>
      <c r="DE12" s="16">
        <f t="shared" si="15"/>
        <v>0</v>
      </c>
      <c r="DF12" s="16">
        <f t="shared" si="15"/>
        <v>0</v>
      </c>
      <c r="DG12" s="16">
        <f t="shared" si="15"/>
        <v>0</v>
      </c>
      <c r="DH12" s="16">
        <f t="shared" si="15"/>
        <v>0</v>
      </c>
      <c r="DI12" s="16">
        <f t="shared" si="15"/>
        <v>0</v>
      </c>
      <c r="DJ12" s="16">
        <f t="shared" si="15"/>
        <v>0</v>
      </c>
      <c r="DK12" s="16">
        <f t="shared" si="15"/>
        <v>0</v>
      </c>
      <c r="DL12" s="16">
        <f t="shared" si="15"/>
        <v>0</v>
      </c>
      <c r="DM12" s="16">
        <f t="shared" si="15"/>
        <v>0</v>
      </c>
      <c r="DN12" s="16">
        <f t="shared" si="15"/>
        <v>0</v>
      </c>
      <c r="DO12" s="16">
        <f t="shared" si="15"/>
        <v>0</v>
      </c>
      <c r="DP12" s="16">
        <f t="shared" si="15"/>
        <v>0</v>
      </c>
      <c r="DQ12" s="16">
        <f t="shared" si="15"/>
        <v>0</v>
      </c>
      <c r="DR12" s="16">
        <f t="shared" si="15"/>
        <v>0</v>
      </c>
      <c r="DS12" s="16">
        <f t="shared" si="15"/>
        <v>0</v>
      </c>
      <c r="DT12" s="16">
        <f t="shared" si="15"/>
        <v>0</v>
      </c>
      <c r="DU12" s="16">
        <f t="shared" si="15"/>
        <v>0</v>
      </c>
      <c r="DV12" s="16">
        <f t="shared" si="15"/>
        <v>0</v>
      </c>
      <c r="DW12" s="16">
        <f t="shared" si="15"/>
        <v>0</v>
      </c>
      <c r="DX12" s="16">
        <f t="shared" si="15"/>
        <v>0</v>
      </c>
      <c r="DY12" s="16">
        <f t="shared" si="15"/>
        <v>0</v>
      </c>
      <c r="DZ12" s="16">
        <f t="shared" si="15"/>
        <v>0</v>
      </c>
      <c r="EA12" s="16">
        <f t="shared" si="15"/>
        <v>0</v>
      </c>
      <c r="EB12" s="16"/>
      <c r="EC12" s="16">
        <f t="shared" si="15"/>
        <v>0</v>
      </c>
      <c r="ED12" s="16">
        <f t="shared" si="15"/>
        <v>0</v>
      </c>
      <c r="EE12" s="16">
        <f t="shared" si="15"/>
        <v>0</v>
      </c>
      <c r="EF12" s="16">
        <f t="shared" si="15"/>
        <v>0</v>
      </c>
      <c r="EG12" s="16">
        <f t="shared" si="15"/>
        <v>0</v>
      </c>
      <c r="EH12" s="16">
        <f t="shared" si="15"/>
        <v>0</v>
      </c>
      <c r="EI12" s="149">
        <f t="shared" si="2"/>
        <v>0</v>
      </c>
      <c r="EJ12" s="132">
        <f t="shared" si="3"/>
        <v>0</v>
      </c>
    </row>
    <row r="13" spans="1:210" ht="15.6">
      <c r="A13" s="15" t="s">
        <v>160</v>
      </c>
      <c r="B13" s="15">
        <v>5</v>
      </c>
      <c r="C13" s="15" t="s">
        <v>164</v>
      </c>
      <c r="D13" s="794" t="s">
        <v>163</v>
      </c>
      <c r="E13" s="795"/>
      <c r="F13" s="17">
        <v>1</v>
      </c>
      <c r="G13" s="141">
        <f t="shared" ref="G13:U13" si="16">ROUNDUP($F13*G6,0)</f>
        <v>0</v>
      </c>
      <c r="H13" s="141">
        <f t="shared" si="16"/>
        <v>0</v>
      </c>
      <c r="I13" s="141">
        <f t="shared" si="16"/>
        <v>0</v>
      </c>
      <c r="J13" s="141">
        <f t="shared" si="16"/>
        <v>0</v>
      </c>
      <c r="K13" s="141">
        <f t="shared" si="16"/>
        <v>0</v>
      </c>
      <c r="L13" s="141">
        <f t="shared" si="16"/>
        <v>0</v>
      </c>
      <c r="M13" s="141">
        <f t="shared" si="16"/>
        <v>0</v>
      </c>
      <c r="N13" s="141">
        <f t="shared" si="16"/>
        <v>0</v>
      </c>
      <c r="O13" s="141">
        <f t="shared" si="16"/>
        <v>0</v>
      </c>
      <c r="P13" s="141">
        <f t="shared" si="16"/>
        <v>0</v>
      </c>
      <c r="Q13" s="141">
        <f t="shared" si="16"/>
        <v>0</v>
      </c>
      <c r="R13" s="141">
        <f t="shared" si="16"/>
        <v>0</v>
      </c>
      <c r="S13" s="141">
        <f t="shared" si="16"/>
        <v>0</v>
      </c>
      <c r="T13" s="141">
        <f t="shared" si="16"/>
        <v>0</v>
      </c>
      <c r="U13" s="141">
        <f t="shared" si="16"/>
        <v>0</v>
      </c>
      <c r="V13" s="141">
        <f t="shared" ref="V13:AZ13" si="17">ROUNDUP($F13*V6,0)</f>
        <v>0</v>
      </c>
      <c r="W13" s="141">
        <f t="shared" si="17"/>
        <v>0</v>
      </c>
      <c r="X13" s="141">
        <f t="shared" si="17"/>
        <v>0</v>
      </c>
      <c r="Y13" s="141">
        <f t="shared" si="17"/>
        <v>0</v>
      </c>
      <c r="Z13" s="141">
        <f t="shared" si="17"/>
        <v>0</v>
      </c>
      <c r="AA13" s="141">
        <f t="shared" si="17"/>
        <v>0</v>
      </c>
      <c r="AB13" s="141">
        <f t="shared" si="17"/>
        <v>0</v>
      </c>
      <c r="AC13" s="141">
        <f>ROUNDUP($F13*AC6,0)</f>
        <v>0</v>
      </c>
      <c r="AD13" s="141">
        <f t="shared" si="17"/>
        <v>0</v>
      </c>
      <c r="AE13" s="141">
        <f t="shared" si="17"/>
        <v>0</v>
      </c>
      <c r="AF13" s="141">
        <f t="shared" si="17"/>
        <v>0</v>
      </c>
      <c r="AG13" s="141">
        <f t="shared" si="17"/>
        <v>0</v>
      </c>
      <c r="AH13" s="141">
        <f t="shared" si="17"/>
        <v>0</v>
      </c>
      <c r="AI13" s="141">
        <f>ROUNDUP($F13*AI6,0)</f>
        <v>0</v>
      </c>
      <c r="AJ13" s="141">
        <f t="shared" si="17"/>
        <v>0</v>
      </c>
      <c r="AK13" s="141">
        <f t="shared" si="17"/>
        <v>0</v>
      </c>
      <c r="AL13" s="141">
        <f t="shared" si="17"/>
        <v>0</v>
      </c>
      <c r="AM13" s="141">
        <f t="shared" si="17"/>
        <v>0</v>
      </c>
      <c r="AN13" s="141">
        <f t="shared" si="17"/>
        <v>0</v>
      </c>
      <c r="AO13" s="141">
        <f t="shared" si="17"/>
        <v>0</v>
      </c>
      <c r="AP13" s="141">
        <f t="shared" si="17"/>
        <v>0</v>
      </c>
      <c r="AQ13" s="141">
        <f t="shared" si="17"/>
        <v>0</v>
      </c>
      <c r="AR13" s="141">
        <f t="shared" si="17"/>
        <v>0</v>
      </c>
      <c r="AS13" s="141">
        <f t="shared" si="17"/>
        <v>0</v>
      </c>
      <c r="AT13" s="141">
        <f t="shared" si="17"/>
        <v>0</v>
      </c>
      <c r="AU13" s="141">
        <f t="shared" si="17"/>
        <v>0</v>
      </c>
      <c r="AV13" s="141">
        <f>ROUNDUP($F13*AV6,0)</f>
        <v>0</v>
      </c>
      <c r="AW13" s="141">
        <f t="shared" si="17"/>
        <v>0</v>
      </c>
      <c r="AX13" s="141">
        <f t="shared" si="17"/>
        <v>0</v>
      </c>
      <c r="AY13" s="141">
        <f t="shared" si="17"/>
        <v>0</v>
      </c>
      <c r="AZ13" s="141">
        <f t="shared" si="17"/>
        <v>0</v>
      </c>
      <c r="BA13" s="141">
        <f t="shared" ref="BA13:EH13" si="18">ROUNDUP($F13*BA6,0)</f>
        <v>0</v>
      </c>
      <c r="BB13" s="141">
        <f t="shared" si="18"/>
        <v>0</v>
      </c>
      <c r="BC13" s="141">
        <f t="shared" si="18"/>
        <v>0</v>
      </c>
      <c r="BD13" s="141">
        <f t="shared" si="18"/>
        <v>0</v>
      </c>
      <c r="BE13" s="141">
        <f t="shared" si="18"/>
        <v>0</v>
      </c>
      <c r="BF13" s="141">
        <f t="shared" si="18"/>
        <v>0</v>
      </c>
      <c r="BG13" s="141">
        <f t="shared" ref="BG13:BS13" si="19">ROUNDUP($F13*BG6,0)</f>
        <v>0</v>
      </c>
      <c r="BH13" s="141">
        <f t="shared" si="19"/>
        <v>0</v>
      </c>
      <c r="BI13" s="141">
        <f t="shared" si="19"/>
        <v>0</v>
      </c>
      <c r="BJ13" s="141">
        <f t="shared" si="19"/>
        <v>0</v>
      </c>
      <c r="BK13" s="141">
        <f t="shared" si="19"/>
        <v>0</v>
      </c>
      <c r="BL13" s="141">
        <f t="shared" si="19"/>
        <v>0</v>
      </c>
      <c r="BM13" s="141">
        <f t="shared" si="19"/>
        <v>0</v>
      </c>
      <c r="BN13" s="141">
        <f t="shared" si="19"/>
        <v>0</v>
      </c>
      <c r="BO13" s="141">
        <f t="shared" si="19"/>
        <v>0</v>
      </c>
      <c r="BP13" s="141">
        <f t="shared" si="19"/>
        <v>0</v>
      </c>
      <c r="BQ13" s="141">
        <f t="shared" si="19"/>
        <v>0</v>
      </c>
      <c r="BR13" s="141">
        <f t="shared" si="19"/>
        <v>0</v>
      </c>
      <c r="BS13" s="141">
        <f t="shared" si="19"/>
        <v>0</v>
      </c>
      <c r="BT13" s="141">
        <f t="shared" si="18"/>
        <v>0</v>
      </c>
      <c r="BU13" s="141">
        <f t="shared" si="18"/>
        <v>0</v>
      </c>
      <c r="BV13" s="141">
        <f t="shared" si="18"/>
        <v>0</v>
      </c>
      <c r="BW13" s="141">
        <f t="shared" si="18"/>
        <v>0</v>
      </c>
      <c r="BX13" s="141">
        <f t="shared" si="18"/>
        <v>0</v>
      </c>
      <c r="BY13" s="141">
        <f>ROUNDUP($F13*BY6,0)</f>
        <v>0</v>
      </c>
      <c r="BZ13" s="141">
        <f>ROUNDUP($F13*BZ6,0)</f>
        <v>0</v>
      </c>
      <c r="CA13" s="141">
        <f t="shared" si="18"/>
        <v>0</v>
      </c>
      <c r="CB13" s="141">
        <f t="shared" si="18"/>
        <v>0</v>
      </c>
      <c r="CC13" s="141">
        <f t="shared" si="18"/>
        <v>0</v>
      </c>
      <c r="CD13" s="141">
        <f t="shared" si="18"/>
        <v>0</v>
      </c>
      <c r="CE13" s="141">
        <f>ROUNDUP($F13*CE6,0)</f>
        <v>0</v>
      </c>
      <c r="CF13" s="141">
        <f t="shared" si="18"/>
        <v>0</v>
      </c>
      <c r="CG13" s="16">
        <f t="shared" si="18"/>
        <v>0</v>
      </c>
      <c r="CH13" s="16">
        <f t="shared" si="18"/>
        <v>0</v>
      </c>
      <c r="CI13" s="16">
        <f t="shared" si="18"/>
        <v>0</v>
      </c>
      <c r="CJ13" s="16">
        <f t="shared" si="18"/>
        <v>0</v>
      </c>
      <c r="CK13" s="16">
        <f t="shared" si="18"/>
        <v>0</v>
      </c>
      <c r="CL13" s="16">
        <f t="shared" si="18"/>
        <v>0</v>
      </c>
      <c r="CM13" s="16">
        <f t="shared" si="18"/>
        <v>0</v>
      </c>
      <c r="CN13" s="16">
        <f t="shared" si="18"/>
        <v>0</v>
      </c>
      <c r="CO13" s="16">
        <f t="shared" si="18"/>
        <v>0</v>
      </c>
      <c r="CP13" s="16">
        <f t="shared" si="18"/>
        <v>0</v>
      </c>
      <c r="CQ13" s="16">
        <f t="shared" si="18"/>
        <v>0</v>
      </c>
      <c r="CR13" s="16">
        <f t="shared" si="18"/>
        <v>0</v>
      </c>
      <c r="CS13" s="16">
        <f t="shared" ref="CS13:DG13" si="20">ROUNDUP($F13*CS6,0)</f>
        <v>0</v>
      </c>
      <c r="CT13" s="16">
        <f t="shared" si="20"/>
        <v>0</v>
      </c>
      <c r="CU13" s="16">
        <f t="shared" si="20"/>
        <v>0</v>
      </c>
      <c r="CV13" s="16">
        <f t="shared" si="20"/>
        <v>0</v>
      </c>
      <c r="CW13" s="16">
        <f t="shared" si="20"/>
        <v>0</v>
      </c>
      <c r="CX13" s="16">
        <f t="shared" si="20"/>
        <v>0</v>
      </c>
      <c r="CY13" s="16">
        <f t="shared" si="20"/>
        <v>0</v>
      </c>
      <c r="CZ13" s="16">
        <f t="shared" si="20"/>
        <v>0</v>
      </c>
      <c r="DA13" s="16">
        <f t="shared" si="20"/>
        <v>0</v>
      </c>
      <c r="DB13" s="16">
        <f t="shared" si="20"/>
        <v>0</v>
      </c>
      <c r="DC13" s="16">
        <f t="shared" si="20"/>
        <v>0</v>
      </c>
      <c r="DD13" s="16">
        <f t="shared" si="20"/>
        <v>0</v>
      </c>
      <c r="DE13" s="16">
        <f t="shared" si="20"/>
        <v>0</v>
      </c>
      <c r="DF13" s="16">
        <f t="shared" si="20"/>
        <v>0</v>
      </c>
      <c r="DG13" s="16">
        <f t="shared" si="20"/>
        <v>0</v>
      </c>
      <c r="DH13" s="16">
        <f t="shared" si="18"/>
        <v>0</v>
      </c>
      <c r="DI13" s="16">
        <f t="shared" si="18"/>
        <v>0</v>
      </c>
      <c r="DJ13" s="16">
        <f t="shared" si="18"/>
        <v>0</v>
      </c>
      <c r="DK13" s="16">
        <f t="shared" si="18"/>
        <v>0</v>
      </c>
      <c r="DL13" s="16">
        <f t="shared" si="18"/>
        <v>0</v>
      </c>
      <c r="DM13" s="16">
        <f t="shared" si="18"/>
        <v>0</v>
      </c>
      <c r="DN13" s="16">
        <f t="shared" si="18"/>
        <v>0</v>
      </c>
      <c r="DO13" s="16">
        <f t="shared" si="18"/>
        <v>0</v>
      </c>
      <c r="DP13" s="16">
        <f t="shared" si="18"/>
        <v>0</v>
      </c>
      <c r="DQ13" s="16">
        <f t="shared" si="18"/>
        <v>0</v>
      </c>
      <c r="DR13" s="16">
        <f t="shared" si="18"/>
        <v>0</v>
      </c>
      <c r="DS13" s="16">
        <f t="shared" si="18"/>
        <v>0</v>
      </c>
      <c r="DT13" s="16">
        <f t="shared" si="18"/>
        <v>0</v>
      </c>
      <c r="DU13" s="16">
        <f t="shared" si="18"/>
        <v>0</v>
      </c>
      <c r="DV13" s="16">
        <f t="shared" si="18"/>
        <v>0</v>
      </c>
      <c r="DW13" s="16">
        <f t="shared" si="18"/>
        <v>0</v>
      </c>
      <c r="DX13" s="16">
        <f t="shared" si="18"/>
        <v>0</v>
      </c>
      <c r="DY13" s="16">
        <f t="shared" si="18"/>
        <v>0</v>
      </c>
      <c r="DZ13" s="16">
        <f t="shared" si="18"/>
        <v>0</v>
      </c>
      <c r="EA13" s="16">
        <f t="shared" si="18"/>
        <v>0</v>
      </c>
      <c r="EB13" s="16"/>
      <c r="EC13" s="16">
        <f t="shared" si="18"/>
        <v>0</v>
      </c>
      <c r="ED13" s="16">
        <f t="shared" si="18"/>
        <v>0</v>
      </c>
      <c r="EE13" s="16">
        <f t="shared" si="18"/>
        <v>0</v>
      </c>
      <c r="EF13" s="16">
        <f t="shared" si="18"/>
        <v>0</v>
      </c>
      <c r="EG13" s="16">
        <f t="shared" si="18"/>
        <v>0</v>
      </c>
      <c r="EH13" s="16">
        <f t="shared" si="18"/>
        <v>0</v>
      </c>
      <c r="EI13" s="149">
        <f t="shared" si="2"/>
        <v>0</v>
      </c>
      <c r="EJ13" s="132">
        <f t="shared" si="3"/>
        <v>0</v>
      </c>
    </row>
    <row r="14" spans="1:210" ht="15.6">
      <c r="A14" s="15" t="s">
        <v>160</v>
      </c>
      <c r="B14" s="15">
        <v>6</v>
      </c>
      <c r="C14" s="15" t="s">
        <v>446</v>
      </c>
      <c r="D14" s="794" t="s">
        <v>447</v>
      </c>
      <c r="E14" s="795"/>
      <c r="F14" s="17">
        <v>1</v>
      </c>
      <c r="G14" s="142">
        <f t="shared" ref="G14:U14" si="21">ROUNDUP($F14*G6,0)</f>
        <v>0</v>
      </c>
      <c r="H14" s="142">
        <f t="shared" si="21"/>
        <v>0</v>
      </c>
      <c r="I14" s="142">
        <f t="shared" si="21"/>
        <v>0</v>
      </c>
      <c r="J14" s="142">
        <f t="shared" si="21"/>
        <v>0</v>
      </c>
      <c r="K14" s="142">
        <f t="shared" si="21"/>
        <v>0</v>
      </c>
      <c r="L14" s="142">
        <f t="shared" si="21"/>
        <v>0</v>
      </c>
      <c r="M14" s="142">
        <f t="shared" si="21"/>
        <v>0</v>
      </c>
      <c r="N14" s="142">
        <f t="shared" si="21"/>
        <v>0</v>
      </c>
      <c r="O14" s="142">
        <f t="shared" si="21"/>
        <v>0</v>
      </c>
      <c r="P14" s="142">
        <f t="shared" si="21"/>
        <v>0</v>
      </c>
      <c r="Q14" s="142">
        <f t="shared" si="21"/>
        <v>0</v>
      </c>
      <c r="R14" s="142">
        <f t="shared" si="21"/>
        <v>0</v>
      </c>
      <c r="S14" s="142">
        <f t="shared" si="21"/>
        <v>0</v>
      </c>
      <c r="T14" s="142">
        <f t="shared" si="21"/>
        <v>0</v>
      </c>
      <c r="U14" s="142">
        <f t="shared" si="21"/>
        <v>0</v>
      </c>
      <c r="V14" s="142">
        <f t="shared" ref="V14:AZ14" si="22">ROUNDUP($F14*V6,0)</f>
        <v>0</v>
      </c>
      <c r="W14" s="142">
        <f t="shared" si="22"/>
        <v>0</v>
      </c>
      <c r="X14" s="142">
        <f t="shared" si="22"/>
        <v>0</v>
      </c>
      <c r="Y14" s="142">
        <f t="shared" si="22"/>
        <v>0</v>
      </c>
      <c r="Z14" s="142">
        <f t="shared" si="22"/>
        <v>0</v>
      </c>
      <c r="AA14" s="142">
        <f t="shared" si="22"/>
        <v>0</v>
      </c>
      <c r="AB14" s="142">
        <f t="shared" si="22"/>
        <v>0</v>
      </c>
      <c r="AC14" s="142">
        <f>ROUNDUP($F14*AC6,0)</f>
        <v>0</v>
      </c>
      <c r="AD14" s="142">
        <f t="shared" si="22"/>
        <v>0</v>
      </c>
      <c r="AE14" s="142">
        <f t="shared" si="22"/>
        <v>0</v>
      </c>
      <c r="AF14" s="142">
        <f t="shared" si="22"/>
        <v>0</v>
      </c>
      <c r="AG14" s="142">
        <f t="shared" si="22"/>
        <v>0</v>
      </c>
      <c r="AH14" s="142">
        <f t="shared" si="22"/>
        <v>0</v>
      </c>
      <c r="AI14" s="142">
        <f>ROUNDUP($F14*AI6,0)</f>
        <v>0</v>
      </c>
      <c r="AJ14" s="142">
        <f t="shared" si="22"/>
        <v>0</v>
      </c>
      <c r="AK14" s="142">
        <f t="shared" si="22"/>
        <v>0</v>
      </c>
      <c r="AL14" s="142">
        <f t="shared" si="22"/>
        <v>0</v>
      </c>
      <c r="AM14" s="142">
        <f t="shared" si="22"/>
        <v>0</v>
      </c>
      <c r="AN14" s="142">
        <f t="shared" si="22"/>
        <v>0</v>
      </c>
      <c r="AO14" s="142">
        <f t="shared" si="22"/>
        <v>0</v>
      </c>
      <c r="AP14" s="142">
        <f t="shared" si="22"/>
        <v>0</v>
      </c>
      <c r="AQ14" s="142">
        <f t="shared" si="22"/>
        <v>0</v>
      </c>
      <c r="AR14" s="142">
        <f t="shared" si="22"/>
        <v>0</v>
      </c>
      <c r="AS14" s="142">
        <f t="shared" si="22"/>
        <v>0</v>
      </c>
      <c r="AT14" s="142">
        <f t="shared" si="22"/>
        <v>0</v>
      </c>
      <c r="AU14" s="142">
        <f t="shared" si="22"/>
        <v>0</v>
      </c>
      <c r="AV14" s="142">
        <f>ROUNDUP($F14*AV6,0)</f>
        <v>0</v>
      </c>
      <c r="AW14" s="142">
        <f t="shared" si="22"/>
        <v>0</v>
      </c>
      <c r="AX14" s="142">
        <f t="shared" si="22"/>
        <v>0</v>
      </c>
      <c r="AY14" s="142">
        <f t="shared" si="22"/>
        <v>0</v>
      </c>
      <c r="AZ14" s="142">
        <f t="shared" si="22"/>
        <v>0</v>
      </c>
      <c r="BA14" s="142">
        <f t="shared" ref="BA14:EH14" si="23">ROUNDUP($F14*BA6,0)</f>
        <v>0</v>
      </c>
      <c r="BB14" s="142">
        <f t="shared" si="23"/>
        <v>0</v>
      </c>
      <c r="BC14" s="142">
        <f t="shared" si="23"/>
        <v>0</v>
      </c>
      <c r="BD14" s="142">
        <f t="shared" si="23"/>
        <v>0</v>
      </c>
      <c r="BE14" s="142">
        <f t="shared" si="23"/>
        <v>0</v>
      </c>
      <c r="BF14" s="142">
        <f t="shared" si="23"/>
        <v>0</v>
      </c>
      <c r="BG14" s="142">
        <f t="shared" ref="BG14:BS14" si="24">ROUNDUP($F14*BG6,0)</f>
        <v>0</v>
      </c>
      <c r="BH14" s="142">
        <f t="shared" si="24"/>
        <v>0</v>
      </c>
      <c r="BI14" s="142">
        <f t="shared" si="24"/>
        <v>0</v>
      </c>
      <c r="BJ14" s="142">
        <f t="shared" si="24"/>
        <v>0</v>
      </c>
      <c r="BK14" s="142">
        <f t="shared" si="24"/>
        <v>0</v>
      </c>
      <c r="BL14" s="142">
        <f t="shared" si="24"/>
        <v>0</v>
      </c>
      <c r="BM14" s="142">
        <f t="shared" si="24"/>
        <v>0</v>
      </c>
      <c r="BN14" s="142">
        <f t="shared" si="24"/>
        <v>0</v>
      </c>
      <c r="BO14" s="142">
        <f t="shared" si="24"/>
        <v>0</v>
      </c>
      <c r="BP14" s="142">
        <f t="shared" si="24"/>
        <v>0</v>
      </c>
      <c r="BQ14" s="142">
        <f t="shared" si="24"/>
        <v>0</v>
      </c>
      <c r="BR14" s="142">
        <f t="shared" si="24"/>
        <v>0</v>
      </c>
      <c r="BS14" s="142">
        <f t="shared" si="24"/>
        <v>0</v>
      </c>
      <c r="BT14" s="142">
        <f t="shared" si="23"/>
        <v>0</v>
      </c>
      <c r="BU14" s="142">
        <f t="shared" si="23"/>
        <v>0</v>
      </c>
      <c r="BV14" s="142">
        <f t="shared" si="23"/>
        <v>0</v>
      </c>
      <c r="BW14" s="142">
        <f t="shared" si="23"/>
        <v>0</v>
      </c>
      <c r="BX14" s="142">
        <f t="shared" si="23"/>
        <v>0</v>
      </c>
      <c r="BY14" s="142">
        <f>ROUNDUP($F14*BY6,0)</f>
        <v>0</v>
      </c>
      <c r="BZ14" s="142">
        <f>ROUNDUP($F14*BZ6,0)</f>
        <v>0</v>
      </c>
      <c r="CA14" s="142">
        <f t="shared" si="23"/>
        <v>0</v>
      </c>
      <c r="CB14" s="142">
        <f t="shared" si="23"/>
        <v>0</v>
      </c>
      <c r="CC14" s="142">
        <f t="shared" si="23"/>
        <v>0</v>
      </c>
      <c r="CD14" s="142">
        <f t="shared" si="23"/>
        <v>0</v>
      </c>
      <c r="CE14" s="142">
        <f>ROUNDUP($F14*CE6,0)</f>
        <v>0</v>
      </c>
      <c r="CF14" s="142">
        <f t="shared" si="23"/>
        <v>0</v>
      </c>
      <c r="CG14" s="128">
        <f t="shared" si="23"/>
        <v>0</v>
      </c>
      <c r="CH14" s="128">
        <f t="shared" si="23"/>
        <v>0</v>
      </c>
      <c r="CI14" s="128">
        <f t="shared" si="23"/>
        <v>0</v>
      </c>
      <c r="CJ14" s="128">
        <f t="shared" si="23"/>
        <v>0</v>
      </c>
      <c r="CK14" s="128">
        <f t="shared" si="23"/>
        <v>0</v>
      </c>
      <c r="CL14" s="128">
        <f t="shared" si="23"/>
        <v>0</v>
      </c>
      <c r="CM14" s="128">
        <f t="shared" si="23"/>
        <v>0</v>
      </c>
      <c r="CN14" s="128">
        <f t="shared" si="23"/>
        <v>0</v>
      </c>
      <c r="CO14" s="128">
        <f t="shared" si="23"/>
        <v>0</v>
      </c>
      <c r="CP14" s="128">
        <f t="shared" si="23"/>
        <v>0</v>
      </c>
      <c r="CQ14" s="128">
        <f t="shared" si="23"/>
        <v>0</v>
      </c>
      <c r="CR14" s="128">
        <f t="shared" si="23"/>
        <v>0</v>
      </c>
      <c r="CS14" s="128">
        <f t="shared" ref="CS14:DG14" si="25">ROUNDUP($F14*CS6,0)</f>
        <v>0</v>
      </c>
      <c r="CT14" s="128">
        <f t="shared" si="25"/>
        <v>0</v>
      </c>
      <c r="CU14" s="128">
        <f t="shared" si="25"/>
        <v>0</v>
      </c>
      <c r="CV14" s="128">
        <f t="shared" si="25"/>
        <v>0</v>
      </c>
      <c r="CW14" s="128">
        <f t="shared" si="25"/>
        <v>0</v>
      </c>
      <c r="CX14" s="128">
        <f t="shared" si="25"/>
        <v>0</v>
      </c>
      <c r="CY14" s="128">
        <f t="shared" si="25"/>
        <v>0</v>
      </c>
      <c r="CZ14" s="128">
        <f t="shared" si="25"/>
        <v>0</v>
      </c>
      <c r="DA14" s="128">
        <f t="shared" si="25"/>
        <v>0</v>
      </c>
      <c r="DB14" s="128">
        <f t="shared" si="25"/>
        <v>0</v>
      </c>
      <c r="DC14" s="128">
        <f t="shared" si="25"/>
        <v>0</v>
      </c>
      <c r="DD14" s="128">
        <f t="shared" si="25"/>
        <v>0</v>
      </c>
      <c r="DE14" s="128">
        <f t="shared" si="25"/>
        <v>0</v>
      </c>
      <c r="DF14" s="128">
        <f t="shared" si="25"/>
        <v>0</v>
      </c>
      <c r="DG14" s="128">
        <f t="shared" si="25"/>
        <v>0</v>
      </c>
      <c r="DH14" s="128">
        <f t="shared" si="23"/>
        <v>0</v>
      </c>
      <c r="DI14" s="128">
        <f t="shared" si="23"/>
        <v>0</v>
      </c>
      <c r="DJ14" s="128">
        <f t="shared" si="23"/>
        <v>0</v>
      </c>
      <c r="DK14" s="128">
        <f t="shared" si="23"/>
        <v>0</v>
      </c>
      <c r="DL14" s="128">
        <f t="shared" si="23"/>
        <v>0</v>
      </c>
      <c r="DM14" s="128">
        <f t="shared" si="23"/>
        <v>0</v>
      </c>
      <c r="DN14" s="128">
        <f t="shared" si="23"/>
        <v>0</v>
      </c>
      <c r="DO14" s="128">
        <f t="shared" si="23"/>
        <v>0</v>
      </c>
      <c r="DP14" s="128">
        <f t="shared" si="23"/>
        <v>0</v>
      </c>
      <c r="DQ14" s="128">
        <f t="shared" si="23"/>
        <v>0</v>
      </c>
      <c r="DR14" s="128">
        <f t="shared" si="23"/>
        <v>0</v>
      </c>
      <c r="DS14" s="128">
        <f t="shared" si="23"/>
        <v>0</v>
      </c>
      <c r="DT14" s="128">
        <f t="shared" si="23"/>
        <v>0</v>
      </c>
      <c r="DU14" s="128">
        <f t="shared" si="23"/>
        <v>0</v>
      </c>
      <c r="DV14" s="128">
        <f t="shared" si="23"/>
        <v>0</v>
      </c>
      <c r="DW14" s="128">
        <f t="shared" si="23"/>
        <v>0</v>
      </c>
      <c r="DX14" s="128">
        <f t="shared" si="23"/>
        <v>0</v>
      </c>
      <c r="DY14" s="128">
        <f t="shared" si="23"/>
        <v>0</v>
      </c>
      <c r="DZ14" s="128">
        <f t="shared" si="23"/>
        <v>0</v>
      </c>
      <c r="EA14" s="128">
        <f t="shared" si="23"/>
        <v>0</v>
      </c>
      <c r="EB14" s="128"/>
      <c r="EC14" s="128">
        <f t="shared" si="23"/>
        <v>0</v>
      </c>
      <c r="ED14" s="128">
        <f t="shared" si="23"/>
        <v>0</v>
      </c>
      <c r="EE14" s="128">
        <f t="shared" si="23"/>
        <v>0</v>
      </c>
      <c r="EF14" s="16">
        <f t="shared" si="23"/>
        <v>0</v>
      </c>
      <c r="EG14" s="16">
        <f t="shared" si="23"/>
        <v>0</v>
      </c>
      <c r="EH14" s="16">
        <f t="shared" si="23"/>
        <v>0</v>
      </c>
      <c r="EI14" s="149">
        <f t="shared" si="2"/>
        <v>0</v>
      </c>
      <c r="EJ14" s="132">
        <f t="shared" si="3"/>
        <v>0</v>
      </c>
    </row>
    <row r="15" spans="1:210" ht="15.6">
      <c r="A15" s="15" t="s">
        <v>160</v>
      </c>
      <c r="B15" s="15">
        <v>7</v>
      </c>
      <c r="C15" s="15" t="s">
        <v>162</v>
      </c>
      <c r="D15" s="794" t="s">
        <v>146</v>
      </c>
      <c r="E15" s="795"/>
      <c r="F15" s="17">
        <v>3.3333333333333333E-2</v>
      </c>
      <c r="G15" s="141">
        <f t="shared" ref="G15:U15" si="26">IF(AND(G4&lt;30,G4&gt;0),1,IF(G4=0,0,ROUNDUP(G4*$F$15,0)))</f>
        <v>0</v>
      </c>
      <c r="H15" s="141">
        <f t="shared" si="26"/>
        <v>0</v>
      </c>
      <c r="I15" s="141">
        <f t="shared" si="26"/>
        <v>0</v>
      </c>
      <c r="J15" s="141">
        <f t="shared" si="26"/>
        <v>0</v>
      </c>
      <c r="K15" s="141">
        <f t="shared" si="26"/>
        <v>0</v>
      </c>
      <c r="L15" s="141">
        <f t="shared" si="26"/>
        <v>0</v>
      </c>
      <c r="M15" s="141">
        <f t="shared" si="26"/>
        <v>0</v>
      </c>
      <c r="N15" s="141">
        <f t="shared" si="26"/>
        <v>0</v>
      </c>
      <c r="O15" s="141">
        <f t="shared" si="26"/>
        <v>0</v>
      </c>
      <c r="P15" s="141">
        <f t="shared" si="26"/>
        <v>0</v>
      </c>
      <c r="Q15" s="141">
        <f t="shared" si="26"/>
        <v>0</v>
      </c>
      <c r="R15" s="141">
        <f t="shared" si="26"/>
        <v>0</v>
      </c>
      <c r="S15" s="141">
        <f t="shared" si="26"/>
        <v>0</v>
      </c>
      <c r="T15" s="141">
        <f t="shared" si="26"/>
        <v>0</v>
      </c>
      <c r="U15" s="141">
        <f t="shared" si="26"/>
        <v>0</v>
      </c>
      <c r="V15" s="141">
        <f t="shared" ref="V15:AZ15" si="27">IF(AND(V4&lt;30,V4&gt;0),1,IF(V4=0,0,ROUNDUP(V4*$F$15,0)))</f>
        <v>0</v>
      </c>
      <c r="W15" s="141">
        <f t="shared" si="27"/>
        <v>0</v>
      </c>
      <c r="X15" s="141">
        <f t="shared" si="27"/>
        <v>0</v>
      </c>
      <c r="Y15" s="141">
        <f t="shared" si="27"/>
        <v>0</v>
      </c>
      <c r="Z15" s="141">
        <f t="shared" si="27"/>
        <v>0</v>
      </c>
      <c r="AA15" s="141">
        <f t="shared" si="27"/>
        <v>0</v>
      </c>
      <c r="AB15" s="141">
        <f t="shared" si="27"/>
        <v>0</v>
      </c>
      <c r="AC15" s="141">
        <f>IF(AND(AC4&lt;30,AC4&gt;0),1,IF(AC4=0,0,ROUNDUP(AC4*$F$15,0)))</f>
        <v>0</v>
      </c>
      <c r="AD15" s="141">
        <f t="shared" si="27"/>
        <v>0</v>
      </c>
      <c r="AE15" s="141">
        <f t="shared" si="27"/>
        <v>0</v>
      </c>
      <c r="AF15" s="141">
        <f t="shared" si="27"/>
        <v>0</v>
      </c>
      <c r="AG15" s="141">
        <f t="shared" si="27"/>
        <v>0</v>
      </c>
      <c r="AH15" s="141">
        <f t="shared" si="27"/>
        <v>0</v>
      </c>
      <c r="AI15" s="141">
        <f>IF(AND(AI4&lt;30,AI4&gt;0),1,IF(AI4=0,0,ROUNDUP(AI4*$F$15,0)))</f>
        <v>0</v>
      </c>
      <c r="AJ15" s="141">
        <f t="shared" si="27"/>
        <v>0</v>
      </c>
      <c r="AK15" s="141">
        <f t="shared" si="27"/>
        <v>0</v>
      </c>
      <c r="AL15" s="141">
        <f t="shared" si="27"/>
        <v>0</v>
      </c>
      <c r="AM15" s="141">
        <f t="shared" si="27"/>
        <v>0</v>
      </c>
      <c r="AN15" s="141">
        <f t="shared" si="27"/>
        <v>0</v>
      </c>
      <c r="AO15" s="141">
        <f t="shared" si="27"/>
        <v>0</v>
      </c>
      <c r="AP15" s="141">
        <f t="shared" si="27"/>
        <v>0</v>
      </c>
      <c r="AQ15" s="141">
        <f t="shared" si="27"/>
        <v>0</v>
      </c>
      <c r="AR15" s="141">
        <f t="shared" si="27"/>
        <v>0</v>
      </c>
      <c r="AS15" s="141">
        <f t="shared" si="27"/>
        <v>0</v>
      </c>
      <c r="AT15" s="141">
        <f t="shared" si="27"/>
        <v>0</v>
      </c>
      <c r="AU15" s="141">
        <f t="shared" si="27"/>
        <v>0</v>
      </c>
      <c r="AV15" s="141">
        <f>IF(AND(AV4&lt;30,AV4&gt;0),1,IF(AV4=0,0,ROUNDUP(AV4*$F$15,0)))</f>
        <v>0</v>
      </c>
      <c r="AW15" s="141">
        <f t="shared" si="27"/>
        <v>0</v>
      </c>
      <c r="AX15" s="141">
        <f t="shared" si="27"/>
        <v>0</v>
      </c>
      <c r="AY15" s="141">
        <f t="shared" si="27"/>
        <v>0</v>
      </c>
      <c r="AZ15" s="141">
        <f t="shared" si="27"/>
        <v>0</v>
      </c>
      <c r="BA15" s="141">
        <f t="shared" ref="BA15:EH15" si="28">IF(AND(BA4&lt;30,BA4&gt;0),1,IF(BA4=0,0,ROUNDUP(BA4*$F$15,0)))</f>
        <v>0</v>
      </c>
      <c r="BB15" s="141">
        <f t="shared" si="28"/>
        <v>0</v>
      </c>
      <c r="BC15" s="141">
        <f t="shared" si="28"/>
        <v>0</v>
      </c>
      <c r="BD15" s="141">
        <f t="shared" si="28"/>
        <v>0</v>
      </c>
      <c r="BE15" s="141">
        <f t="shared" si="28"/>
        <v>0</v>
      </c>
      <c r="BF15" s="141">
        <f t="shared" si="28"/>
        <v>0</v>
      </c>
      <c r="BG15" s="141">
        <f t="shared" ref="BG15:BS15" si="29">IF(AND(BG4&lt;30,BG4&gt;0),1,IF(BG4=0,0,ROUNDUP(BG4*$F$15,0)))</f>
        <v>0</v>
      </c>
      <c r="BH15" s="141">
        <f t="shared" si="29"/>
        <v>0</v>
      </c>
      <c r="BI15" s="141">
        <f t="shared" si="29"/>
        <v>0</v>
      </c>
      <c r="BJ15" s="141">
        <f t="shared" si="29"/>
        <v>0</v>
      </c>
      <c r="BK15" s="141">
        <f t="shared" si="29"/>
        <v>0</v>
      </c>
      <c r="BL15" s="141">
        <f t="shared" si="29"/>
        <v>0</v>
      </c>
      <c r="BM15" s="141">
        <f t="shared" si="29"/>
        <v>0</v>
      </c>
      <c r="BN15" s="141">
        <f t="shared" si="29"/>
        <v>0</v>
      </c>
      <c r="BO15" s="141">
        <f t="shared" si="29"/>
        <v>0</v>
      </c>
      <c r="BP15" s="141">
        <f t="shared" si="29"/>
        <v>0</v>
      </c>
      <c r="BQ15" s="141">
        <f t="shared" si="29"/>
        <v>0</v>
      </c>
      <c r="BR15" s="141">
        <f t="shared" si="29"/>
        <v>0</v>
      </c>
      <c r="BS15" s="141">
        <f t="shared" si="29"/>
        <v>0</v>
      </c>
      <c r="BT15" s="141">
        <f t="shared" si="28"/>
        <v>0</v>
      </c>
      <c r="BU15" s="141">
        <f t="shared" si="28"/>
        <v>0</v>
      </c>
      <c r="BV15" s="141">
        <f t="shared" si="28"/>
        <v>0</v>
      </c>
      <c r="BW15" s="141">
        <f t="shared" si="28"/>
        <v>0</v>
      </c>
      <c r="BX15" s="141">
        <f t="shared" si="28"/>
        <v>0</v>
      </c>
      <c r="BY15" s="141">
        <f>IF(AND(BY4&lt;30,BY4&gt;0),1,IF(BY4=0,0,ROUNDUP(BY4*$F$15,0)))</f>
        <v>0</v>
      </c>
      <c r="BZ15" s="141">
        <f>IF(AND(BZ4&lt;30,BZ4&gt;0),1,IF(BZ4=0,0,ROUNDUP(BZ4*$F$15,0)))</f>
        <v>0</v>
      </c>
      <c r="CA15" s="141">
        <f t="shared" si="28"/>
        <v>0</v>
      </c>
      <c r="CB15" s="141">
        <f t="shared" si="28"/>
        <v>0</v>
      </c>
      <c r="CC15" s="141">
        <f t="shared" si="28"/>
        <v>0</v>
      </c>
      <c r="CD15" s="141">
        <f t="shared" si="28"/>
        <v>0</v>
      </c>
      <c r="CE15" s="141">
        <f>IF(AND(CE4&lt;30,CE4&gt;0),1,IF(CE4=0,0,ROUNDUP(CE4*$F$15,0)))</f>
        <v>0</v>
      </c>
      <c r="CF15" s="141">
        <f t="shared" si="28"/>
        <v>0</v>
      </c>
      <c r="CG15" s="16">
        <f t="shared" si="28"/>
        <v>0</v>
      </c>
      <c r="CH15" s="16">
        <f t="shared" si="28"/>
        <v>0</v>
      </c>
      <c r="CI15" s="16">
        <f t="shared" si="28"/>
        <v>0</v>
      </c>
      <c r="CJ15" s="16">
        <f t="shared" si="28"/>
        <v>0</v>
      </c>
      <c r="CK15" s="16">
        <f t="shared" si="28"/>
        <v>0</v>
      </c>
      <c r="CL15" s="16">
        <f t="shared" si="28"/>
        <v>0</v>
      </c>
      <c r="CM15" s="16">
        <f t="shared" si="28"/>
        <v>0</v>
      </c>
      <c r="CN15" s="16">
        <f t="shared" si="28"/>
        <v>0</v>
      </c>
      <c r="CO15" s="16">
        <f t="shared" si="28"/>
        <v>0</v>
      </c>
      <c r="CP15" s="16">
        <f t="shared" si="28"/>
        <v>0</v>
      </c>
      <c r="CQ15" s="16">
        <f t="shared" si="28"/>
        <v>0</v>
      </c>
      <c r="CR15" s="16">
        <f t="shared" si="28"/>
        <v>0</v>
      </c>
      <c r="CS15" s="16">
        <f t="shared" ref="CS15:DG15" si="30">IF(AND(CS4&lt;30,CS4&gt;0),1,IF(CS4=0,0,ROUNDUP(CS4*$F$15,0)))</f>
        <v>0</v>
      </c>
      <c r="CT15" s="16">
        <f t="shared" si="30"/>
        <v>0</v>
      </c>
      <c r="CU15" s="16">
        <f t="shared" si="30"/>
        <v>0</v>
      </c>
      <c r="CV15" s="16">
        <f t="shared" si="30"/>
        <v>0</v>
      </c>
      <c r="CW15" s="16">
        <f t="shared" si="30"/>
        <v>0</v>
      </c>
      <c r="CX15" s="16">
        <f t="shared" si="30"/>
        <v>0</v>
      </c>
      <c r="CY15" s="16">
        <f t="shared" si="30"/>
        <v>0</v>
      </c>
      <c r="CZ15" s="16">
        <f t="shared" si="30"/>
        <v>0</v>
      </c>
      <c r="DA15" s="16">
        <f t="shared" si="30"/>
        <v>0</v>
      </c>
      <c r="DB15" s="16">
        <f t="shared" si="30"/>
        <v>0</v>
      </c>
      <c r="DC15" s="16">
        <f t="shared" si="30"/>
        <v>0</v>
      </c>
      <c r="DD15" s="16">
        <f t="shared" si="30"/>
        <v>0</v>
      </c>
      <c r="DE15" s="16">
        <f t="shared" si="30"/>
        <v>0</v>
      </c>
      <c r="DF15" s="16">
        <f t="shared" si="30"/>
        <v>0</v>
      </c>
      <c r="DG15" s="16">
        <f t="shared" si="30"/>
        <v>0</v>
      </c>
      <c r="DH15" s="16">
        <f t="shared" si="28"/>
        <v>0</v>
      </c>
      <c r="DI15" s="16">
        <f t="shared" si="28"/>
        <v>0</v>
      </c>
      <c r="DJ15" s="16">
        <f t="shared" si="28"/>
        <v>0</v>
      </c>
      <c r="DK15" s="16">
        <f t="shared" si="28"/>
        <v>0</v>
      </c>
      <c r="DL15" s="16">
        <f t="shared" si="28"/>
        <v>0</v>
      </c>
      <c r="DM15" s="16">
        <f t="shared" si="28"/>
        <v>0</v>
      </c>
      <c r="DN15" s="16">
        <f t="shared" si="28"/>
        <v>0</v>
      </c>
      <c r="DO15" s="16">
        <f t="shared" si="28"/>
        <v>0</v>
      </c>
      <c r="DP15" s="16">
        <f t="shared" si="28"/>
        <v>0</v>
      </c>
      <c r="DQ15" s="16">
        <f t="shared" si="28"/>
        <v>0</v>
      </c>
      <c r="DR15" s="16">
        <f t="shared" si="28"/>
        <v>0</v>
      </c>
      <c r="DS15" s="16">
        <f t="shared" si="28"/>
        <v>0</v>
      </c>
      <c r="DT15" s="16">
        <f t="shared" si="28"/>
        <v>0</v>
      </c>
      <c r="DU15" s="16">
        <f t="shared" si="28"/>
        <v>0</v>
      </c>
      <c r="DV15" s="16">
        <f t="shared" si="28"/>
        <v>0</v>
      </c>
      <c r="DW15" s="16">
        <f t="shared" si="28"/>
        <v>0</v>
      </c>
      <c r="DX15" s="16">
        <f t="shared" si="28"/>
        <v>0</v>
      </c>
      <c r="DY15" s="16">
        <f t="shared" si="28"/>
        <v>0</v>
      </c>
      <c r="DZ15" s="16">
        <f t="shared" si="28"/>
        <v>0</v>
      </c>
      <c r="EA15" s="16">
        <f t="shared" si="28"/>
        <v>0</v>
      </c>
      <c r="EB15" s="16"/>
      <c r="EC15" s="16">
        <f t="shared" si="28"/>
        <v>0</v>
      </c>
      <c r="ED15" s="16">
        <f t="shared" si="28"/>
        <v>0</v>
      </c>
      <c r="EE15" s="16">
        <f t="shared" si="28"/>
        <v>0</v>
      </c>
      <c r="EF15" s="16">
        <f t="shared" si="28"/>
        <v>0</v>
      </c>
      <c r="EG15" s="16">
        <f t="shared" si="28"/>
        <v>0</v>
      </c>
      <c r="EH15" s="16">
        <f t="shared" si="28"/>
        <v>0</v>
      </c>
      <c r="EI15" s="149">
        <f t="shared" si="2"/>
        <v>0</v>
      </c>
      <c r="EJ15" s="132">
        <f t="shared" si="3"/>
        <v>0</v>
      </c>
    </row>
    <row r="16" spans="1:210" ht="15.6">
      <c r="A16" s="15" t="s">
        <v>160</v>
      </c>
      <c r="B16" s="15">
        <v>8</v>
      </c>
      <c r="C16" s="154" t="s">
        <v>11</v>
      </c>
      <c r="D16" s="802" t="s">
        <v>153</v>
      </c>
      <c r="E16" s="803"/>
      <c r="F16" s="17">
        <f>1/6</f>
        <v>0.16666666666666666</v>
      </c>
      <c r="G16" s="141">
        <f t="shared" ref="G16:U16" si="31">ROUND($F16*G$4,0)</f>
        <v>0</v>
      </c>
      <c r="H16" s="141">
        <f t="shared" si="31"/>
        <v>0</v>
      </c>
      <c r="I16" s="141">
        <f t="shared" si="31"/>
        <v>0</v>
      </c>
      <c r="J16" s="141">
        <f t="shared" si="31"/>
        <v>0</v>
      </c>
      <c r="K16" s="141">
        <f t="shared" si="31"/>
        <v>0</v>
      </c>
      <c r="L16" s="141">
        <f t="shared" si="31"/>
        <v>0</v>
      </c>
      <c r="M16" s="141">
        <f t="shared" si="31"/>
        <v>0</v>
      </c>
      <c r="N16" s="141">
        <f t="shared" si="31"/>
        <v>0</v>
      </c>
      <c r="O16" s="141">
        <f t="shared" si="31"/>
        <v>0</v>
      </c>
      <c r="P16" s="141">
        <f t="shared" si="31"/>
        <v>0</v>
      </c>
      <c r="Q16" s="141">
        <f t="shared" si="31"/>
        <v>0</v>
      </c>
      <c r="R16" s="141">
        <f t="shared" si="31"/>
        <v>0</v>
      </c>
      <c r="S16" s="141">
        <f t="shared" si="31"/>
        <v>0</v>
      </c>
      <c r="T16" s="141">
        <f t="shared" si="31"/>
        <v>0</v>
      </c>
      <c r="U16" s="141">
        <f t="shared" si="31"/>
        <v>0</v>
      </c>
      <c r="V16" s="141">
        <f t="shared" ref="V16:EH16" si="32">ROUND($F16*V$4,0)</f>
        <v>0</v>
      </c>
      <c r="W16" s="141">
        <f t="shared" si="32"/>
        <v>0</v>
      </c>
      <c r="X16" s="141">
        <f t="shared" si="32"/>
        <v>0</v>
      </c>
      <c r="Y16" s="141">
        <f t="shared" si="32"/>
        <v>0</v>
      </c>
      <c r="Z16" s="141">
        <f t="shared" si="32"/>
        <v>0</v>
      </c>
      <c r="AA16" s="141">
        <f t="shared" si="32"/>
        <v>0</v>
      </c>
      <c r="AB16" s="141">
        <f t="shared" si="32"/>
        <v>0</v>
      </c>
      <c r="AC16" s="141">
        <f t="shared" si="32"/>
        <v>0</v>
      </c>
      <c r="AD16" s="141">
        <f t="shared" si="32"/>
        <v>0</v>
      </c>
      <c r="AE16" s="141">
        <f t="shared" si="32"/>
        <v>0</v>
      </c>
      <c r="AF16" s="141">
        <f t="shared" si="32"/>
        <v>0</v>
      </c>
      <c r="AG16" s="141">
        <f t="shared" si="32"/>
        <v>0</v>
      </c>
      <c r="AH16" s="141">
        <f t="shared" si="32"/>
        <v>0</v>
      </c>
      <c r="AI16" s="141">
        <f t="shared" si="32"/>
        <v>0</v>
      </c>
      <c r="AJ16" s="141">
        <f t="shared" si="32"/>
        <v>0</v>
      </c>
      <c r="AK16" s="141">
        <f t="shared" si="32"/>
        <v>0</v>
      </c>
      <c r="AL16" s="141">
        <f t="shared" si="32"/>
        <v>0</v>
      </c>
      <c r="AM16" s="141">
        <f t="shared" si="32"/>
        <v>0</v>
      </c>
      <c r="AN16" s="141">
        <f t="shared" si="32"/>
        <v>0</v>
      </c>
      <c r="AO16" s="141">
        <f t="shared" si="32"/>
        <v>0</v>
      </c>
      <c r="AP16" s="141">
        <f t="shared" si="32"/>
        <v>0</v>
      </c>
      <c r="AQ16" s="141">
        <f t="shared" si="32"/>
        <v>0</v>
      </c>
      <c r="AR16" s="141">
        <f t="shared" si="32"/>
        <v>0</v>
      </c>
      <c r="AS16" s="141">
        <f t="shared" si="32"/>
        <v>0</v>
      </c>
      <c r="AT16" s="141">
        <f t="shared" si="32"/>
        <v>0</v>
      </c>
      <c r="AU16" s="141">
        <f t="shared" si="32"/>
        <v>0</v>
      </c>
      <c r="AV16" s="141">
        <f t="shared" si="32"/>
        <v>0</v>
      </c>
      <c r="AW16" s="141">
        <f t="shared" si="32"/>
        <v>0</v>
      </c>
      <c r="AX16" s="141">
        <f t="shared" si="32"/>
        <v>0</v>
      </c>
      <c r="AY16" s="141">
        <f t="shared" si="32"/>
        <v>0</v>
      </c>
      <c r="AZ16" s="141">
        <f t="shared" si="32"/>
        <v>0</v>
      </c>
      <c r="BA16" s="141">
        <f t="shared" si="32"/>
        <v>0</v>
      </c>
      <c r="BB16" s="141">
        <f t="shared" si="32"/>
        <v>0</v>
      </c>
      <c r="BC16" s="141">
        <f t="shared" si="32"/>
        <v>0</v>
      </c>
      <c r="BD16" s="141">
        <f t="shared" si="32"/>
        <v>0</v>
      </c>
      <c r="BE16" s="141">
        <f t="shared" si="32"/>
        <v>0</v>
      </c>
      <c r="BF16" s="141">
        <f t="shared" si="32"/>
        <v>0</v>
      </c>
      <c r="BG16" s="141">
        <f t="shared" si="32"/>
        <v>0</v>
      </c>
      <c r="BH16" s="141">
        <f t="shared" si="32"/>
        <v>0</v>
      </c>
      <c r="BI16" s="141">
        <f t="shared" si="32"/>
        <v>0</v>
      </c>
      <c r="BJ16" s="141">
        <f t="shared" si="32"/>
        <v>0</v>
      </c>
      <c r="BK16" s="141">
        <f t="shared" si="32"/>
        <v>0</v>
      </c>
      <c r="BL16" s="141">
        <f t="shared" si="32"/>
        <v>0</v>
      </c>
      <c r="BM16" s="141">
        <f t="shared" si="32"/>
        <v>0</v>
      </c>
      <c r="BN16" s="141">
        <f t="shared" si="32"/>
        <v>0</v>
      </c>
      <c r="BO16" s="141">
        <f t="shared" si="32"/>
        <v>0</v>
      </c>
      <c r="BP16" s="141">
        <f t="shared" si="32"/>
        <v>0</v>
      </c>
      <c r="BQ16" s="141">
        <f t="shared" si="32"/>
        <v>0</v>
      </c>
      <c r="BR16" s="141">
        <f t="shared" si="32"/>
        <v>0</v>
      </c>
      <c r="BS16" s="141">
        <f t="shared" si="32"/>
        <v>0</v>
      </c>
      <c r="BT16" s="141">
        <f t="shared" si="32"/>
        <v>0</v>
      </c>
      <c r="BU16" s="141">
        <f t="shared" si="32"/>
        <v>0</v>
      </c>
      <c r="BV16" s="141">
        <f t="shared" si="32"/>
        <v>0</v>
      </c>
      <c r="BW16" s="141">
        <f t="shared" si="32"/>
        <v>0</v>
      </c>
      <c r="BX16" s="141">
        <f t="shared" si="32"/>
        <v>0</v>
      </c>
      <c r="BY16" s="141">
        <f t="shared" si="32"/>
        <v>0</v>
      </c>
      <c r="BZ16" s="141">
        <f t="shared" si="32"/>
        <v>0</v>
      </c>
      <c r="CA16" s="141">
        <f t="shared" si="32"/>
        <v>0</v>
      </c>
      <c r="CB16" s="141">
        <f t="shared" si="32"/>
        <v>0</v>
      </c>
      <c r="CC16" s="141">
        <f t="shared" si="32"/>
        <v>0</v>
      </c>
      <c r="CD16" s="141">
        <f t="shared" si="32"/>
        <v>0</v>
      </c>
      <c r="CE16" s="141">
        <f t="shared" si="32"/>
        <v>0</v>
      </c>
      <c r="CF16" s="141">
        <f t="shared" si="32"/>
        <v>0</v>
      </c>
      <c r="CG16" s="16">
        <f t="shared" si="32"/>
        <v>0</v>
      </c>
      <c r="CH16" s="16">
        <f t="shared" si="32"/>
        <v>0</v>
      </c>
      <c r="CI16" s="16">
        <f t="shared" si="32"/>
        <v>0</v>
      </c>
      <c r="CJ16" s="16">
        <f t="shared" si="32"/>
        <v>0</v>
      </c>
      <c r="CK16" s="16">
        <f t="shared" si="32"/>
        <v>0</v>
      </c>
      <c r="CL16" s="16">
        <f t="shared" si="32"/>
        <v>0</v>
      </c>
      <c r="CM16" s="16">
        <f t="shared" si="32"/>
        <v>0</v>
      </c>
      <c r="CN16" s="16">
        <f t="shared" si="32"/>
        <v>0</v>
      </c>
      <c r="CO16" s="16">
        <f t="shared" si="32"/>
        <v>0</v>
      </c>
      <c r="CP16" s="16">
        <f t="shared" si="32"/>
        <v>0</v>
      </c>
      <c r="CQ16" s="16">
        <f t="shared" si="32"/>
        <v>0</v>
      </c>
      <c r="CR16" s="16">
        <f t="shared" si="32"/>
        <v>0</v>
      </c>
      <c r="CS16" s="16">
        <f t="shared" si="32"/>
        <v>0</v>
      </c>
      <c r="CT16" s="16">
        <f t="shared" si="32"/>
        <v>0</v>
      </c>
      <c r="CU16" s="16">
        <f t="shared" si="32"/>
        <v>0</v>
      </c>
      <c r="CV16" s="16">
        <f t="shared" si="32"/>
        <v>0</v>
      </c>
      <c r="CW16" s="16">
        <f t="shared" si="32"/>
        <v>0</v>
      </c>
      <c r="CX16" s="16">
        <f t="shared" si="32"/>
        <v>0</v>
      </c>
      <c r="CY16" s="16">
        <f t="shared" si="32"/>
        <v>0</v>
      </c>
      <c r="CZ16" s="16">
        <f t="shared" si="32"/>
        <v>0</v>
      </c>
      <c r="DA16" s="16">
        <f t="shared" si="32"/>
        <v>0</v>
      </c>
      <c r="DB16" s="16">
        <f t="shared" si="32"/>
        <v>0</v>
      </c>
      <c r="DC16" s="16">
        <f t="shared" si="32"/>
        <v>0</v>
      </c>
      <c r="DD16" s="16">
        <f t="shared" si="32"/>
        <v>0</v>
      </c>
      <c r="DE16" s="16">
        <f t="shared" si="32"/>
        <v>0</v>
      </c>
      <c r="DF16" s="16">
        <f t="shared" si="32"/>
        <v>0</v>
      </c>
      <c r="DG16" s="16">
        <f t="shared" si="32"/>
        <v>0</v>
      </c>
      <c r="DH16" s="16">
        <f t="shared" si="32"/>
        <v>0</v>
      </c>
      <c r="DI16" s="16">
        <f t="shared" si="32"/>
        <v>0</v>
      </c>
      <c r="DJ16" s="16">
        <f t="shared" si="32"/>
        <v>0</v>
      </c>
      <c r="DK16" s="16">
        <f t="shared" si="32"/>
        <v>0</v>
      </c>
      <c r="DL16" s="16">
        <f t="shared" si="32"/>
        <v>0</v>
      </c>
      <c r="DM16" s="16">
        <f t="shared" si="32"/>
        <v>0</v>
      </c>
      <c r="DN16" s="16">
        <f t="shared" si="32"/>
        <v>0</v>
      </c>
      <c r="DO16" s="16">
        <f t="shared" si="32"/>
        <v>0</v>
      </c>
      <c r="DP16" s="16">
        <f t="shared" si="32"/>
        <v>0</v>
      </c>
      <c r="DQ16" s="16">
        <f t="shared" si="32"/>
        <v>0</v>
      </c>
      <c r="DR16" s="16">
        <f t="shared" si="32"/>
        <v>0</v>
      </c>
      <c r="DS16" s="16">
        <f t="shared" si="32"/>
        <v>0</v>
      </c>
      <c r="DT16" s="16">
        <f t="shared" si="32"/>
        <v>0</v>
      </c>
      <c r="DU16" s="16">
        <f t="shared" si="32"/>
        <v>0</v>
      </c>
      <c r="DV16" s="16">
        <f t="shared" si="32"/>
        <v>0</v>
      </c>
      <c r="DW16" s="16">
        <f t="shared" si="32"/>
        <v>0</v>
      </c>
      <c r="DX16" s="16">
        <f t="shared" si="32"/>
        <v>0</v>
      </c>
      <c r="DY16" s="16">
        <f t="shared" si="32"/>
        <v>0</v>
      </c>
      <c r="DZ16" s="16">
        <f t="shared" si="32"/>
        <v>0</v>
      </c>
      <c r="EA16" s="16">
        <f t="shared" si="32"/>
        <v>0</v>
      </c>
      <c r="EB16" s="16"/>
      <c r="EC16" s="16">
        <f t="shared" si="32"/>
        <v>0</v>
      </c>
      <c r="ED16" s="16">
        <f t="shared" si="32"/>
        <v>0</v>
      </c>
      <c r="EE16" s="16">
        <f t="shared" si="32"/>
        <v>0</v>
      </c>
      <c r="EF16" s="16">
        <f t="shared" si="32"/>
        <v>0</v>
      </c>
      <c r="EG16" s="16">
        <f t="shared" si="32"/>
        <v>0</v>
      </c>
      <c r="EH16" s="16">
        <f t="shared" si="32"/>
        <v>0</v>
      </c>
      <c r="EI16" s="149">
        <f t="shared" si="2"/>
        <v>0</v>
      </c>
      <c r="EJ16" s="132">
        <f t="shared" si="3"/>
        <v>0</v>
      </c>
    </row>
    <row r="17" spans="1:210" ht="15.6">
      <c r="A17" s="15" t="s">
        <v>160</v>
      </c>
      <c r="B17" s="152">
        <v>9</v>
      </c>
      <c r="C17" s="14" t="s">
        <v>161</v>
      </c>
      <c r="D17" s="796" t="s">
        <v>146</v>
      </c>
      <c r="E17" s="796"/>
      <c r="F17" s="153">
        <v>3.3333333333333333E-2</v>
      </c>
      <c r="G17" s="141">
        <f t="shared" ref="G17:U17" si="33">ROUNDUP($F17*G$4,0)</f>
        <v>0</v>
      </c>
      <c r="H17" s="141">
        <f t="shared" si="33"/>
        <v>0</v>
      </c>
      <c r="I17" s="141">
        <f t="shared" si="33"/>
        <v>0</v>
      </c>
      <c r="J17" s="141">
        <f t="shared" si="33"/>
        <v>0</v>
      </c>
      <c r="K17" s="141">
        <f t="shared" si="33"/>
        <v>0</v>
      </c>
      <c r="L17" s="141">
        <f t="shared" si="33"/>
        <v>0</v>
      </c>
      <c r="M17" s="141">
        <f t="shared" si="33"/>
        <v>0</v>
      </c>
      <c r="N17" s="141">
        <f t="shared" si="33"/>
        <v>0</v>
      </c>
      <c r="O17" s="141">
        <f t="shared" si="33"/>
        <v>0</v>
      </c>
      <c r="P17" s="141">
        <f t="shared" si="33"/>
        <v>0</v>
      </c>
      <c r="Q17" s="141">
        <f t="shared" si="33"/>
        <v>0</v>
      </c>
      <c r="R17" s="141">
        <f t="shared" si="33"/>
        <v>0</v>
      </c>
      <c r="S17" s="141">
        <f t="shared" si="33"/>
        <v>0</v>
      </c>
      <c r="T17" s="141">
        <f t="shared" si="33"/>
        <v>0</v>
      </c>
      <c r="U17" s="141">
        <f t="shared" si="33"/>
        <v>0</v>
      </c>
      <c r="V17" s="141">
        <f t="shared" ref="V17:EH17" si="34">ROUNDUP($F17*V$4,0)</f>
        <v>0</v>
      </c>
      <c r="W17" s="141">
        <f t="shared" si="34"/>
        <v>0</v>
      </c>
      <c r="X17" s="141">
        <f t="shared" si="34"/>
        <v>0</v>
      </c>
      <c r="Y17" s="141">
        <f t="shared" si="34"/>
        <v>0</v>
      </c>
      <c r="Z17" s="141">
        <f t="shared" si="34"/>
        <v>0</v>
      </c>
      <c r="AA17" s="141">
        <f t="shared" si="34"/>
        <v>0</v>
      </c>
      <c r="AB17" s="141">
        <f t="shared" si="34"/>
        <v>0</v>
      </c>
      <c r="AC17" s="141">
        <f t="shared" si="34"/>
        <v>0</v>
      </c>
      <c r="AD17" s="141">
        <f t="shared" si="34"/>
        <v>0</v>
      </c>
      <c r="AE17" s="141">
        <f t="shared" si="34"/>
        <v>0</v>
      </c>
      <c r="AF17" s="141">
        <f t="shared" si="34"/>
        <v>0</v>
      </c>
      <c r="AG17" s="141">
        <f t="shared" si="34"/>
        <v>0</v>
      </c>
      <c r="AH17" s="141">
        <f t="shared" si="34"/>
        <v>0</v>
      </c>
      <c r="AI17" s="141">
        <f t="shared" si="34"/>
        <v>0</v>
      </c>
      <c r="AJ17" s="141">
        <f t="shared" si="34"/>
        <v>0</v>
      </c>
      <c r="AK17" s="141">
        <f t="shared" si="34"/>
        <v>0</v>
      </c>
      <c r="AL17" s="141">
        <f t="shared" si="34"/>
        <v>0</v>
      </c>
      <c r="AM17" s="141">
        <f t="shared" si="34"/>
        <v>0</v>
      </c>
      <c r="AN17" s="141">
        <f t="shared" si="34"/>
        <v>0</v>
      </c>
      <c r="AO17" s="141">
        <f t="shared" si="34"/>
        <v>0</v>
      </c>
      <c r="AP17" s="141">
        <f t="shared" si="34"/>
        <v>0</v>
      </c>
      <c r="AQ17" s="141">
        <f t="shared" si="34"/>
        <v>0</v>
      </c>
      <c r="AR17" s="141">
        <f t="shared" si="34"/>
        <v>0</v>
      </c>
      <c r="AS17" s="141">
        <f t="shared" si="34"/>
        <v>0</v>
      </c>
      <c r="AT17" s="141">
        <f t="shared" si="34"/>
        <v>0</v>
      </c>
      <c r="AU17" s="141">
        <f t="shared" si="34"/>
        <v>0</v>
      </c>
      <c r="AV17" s="141">
        <f t="shared" si="34"/>
        <v>0</v>
      </c>
      <c r="AW17" s="141">
        <f t="shared" si="34"/>
        <v>0</v>
      </c>
      <c r="AX17" s="141">
        <f t="shared" si="34"/>
        <v>0</v>
      </c>
      <c r="AY17" s="141">
        <f t="shared" si="34"/>
        <v>0</v>
      </c>
      <c r="AZ17" s="141">
        <f t="shared" si="34"/>
        <v>0</v>
      </c>
      <c r="BA17" s="141">
        <f t="shared" si="34"/>
        <v>0</v>
      </c>
      <c r="BB17" s="141">
        <f t="shared" si="34"/>
        <v>0</v>
      </c>
      <c r="BC17" s="141">
        <f t="shared" si="34"/>
        <v>0</v>
      </c>
      <c r="BD17" s="141">
        <f t="shared" si="34"/>
        <v>0</v>
      </c>
      <c r="BE17" s="141">
        <f t="shared" si="34"/>
        <v>0</v>
      </c>
      <c r="BF17" s="141">
        <f t="shared" si="34"/>
        <v>0</v>
      </c>
      <c r="BG17" s="141">
        <f t="shared" si="34"/>
        <v>0</v>
      </c>
      <c r="BH17" s="141">
        <f t="shared" si="34"/>
        <v>0</v>
      </c>
      <c r="BI17" s="141">
        <f t="shared" si="34"/>
        <v>0</v>
      </c>
      <c r="BJ17" s="141">
        <f t="shared" si="34"/>
        <v>0</v>
      </c>
      <c r="BK17" s="141">
        <f t="shared" si="34"/>
        <v>0</v>
      </c>
      <c r="BL17" s="141">
        <f t="shared" si="34"/>
        <v>0</v>
      </c>
      <c r="BM17" s="141">
        <f t="shared" si="34"/>
        <v>0</v>
      </c>
      <c r="BN17" s="141">
        <f t="shared" si="34"/>
        <v>0</v>
      </c>
      <c r="BO17" s="141">
        <f t="shared" si="34"/>
        <v>0</v>
      </c>
      <c r="BP17" s="141">
        <f t="shared" si="34"/>
        <v>0</v>
      </c>
      <c r="BQ17" s="141">
        <f t="shared" si="34"/>
        <v>0</v>
      </c>
      <c r="BR17" s="141">
        <f t="shared" si="34"/>
        <v>0</v>
      </c>
      <c r="BS17" s="141">
        <f t="shared" si="34"/>
        <v>0</v>
      </c>
      <c r="BT17" s="141">
        <f t="shared" si="34"/>
        <v>0</v>
      </c>
      <c r="BU17" s="141">
        <f t="shared" si="34"/>
        <v>0</v>
      </c>
      <c r="BV17" s="141">
        <f t="shared" si="34"/>
        <v>0</v>
      </c>
      <c r="BW17" s="141">
        <f t="shared" si="34"/>
        <v>0</v>
      </c>
      <c r="BX17" s="141">
        <f t="shared" si="34"/>
        <v>0</v>
      </c>
      <c r="BY17" s="141">
        <f t="shared" si="34"/>
        <v>0</v>
      </c>
      <c r="BZ17" s="141">
        <f t="shared" si="34"/>
        <v>0</v>
      </c>
      <c r="CA17" s="141">
        <f t="shared" si="34"/>
        <v>0</v>
      </c>
      <c r="CB17" s="141">
        <f t="shared" si="34"/>
        <v>0</v>
      </c>
      <c r="CC17" s="141">
        <f t="shared" si="34"/>
        <v>0</v>
      </c>
      <c r="CD17" s="141">
        <f t="shared" si="34"/>
        <v>0</v>
      </c>
      <c r="CE17" s="141">
        <f t="shared" si="34"/>
        <v>0</v>
      </c>
      <c r="CF17" s="141">
        <f t="shared" si="34"/>
        <v>0</v>
      </c>
      <c r="CG17" s="16">
        <f t="shared" si="34"/>
        <v>0</v>
      </c>
      <c r="CH17" s="16">
        <f t="shared" si="34"/>
        <v>0</v>
      </c>
      <c r="CI17" s="16">
        <f t="shared" si="34"/>
        <v>0</v>
      </c>
      <c r="CJ17" s="16">
        <f t="shared" si="34"/>
        <v>0</v>
      </c>
      <c r="CK17" s="16">
        <f t="shared" si="34"/>
        <v>0</v>
      </c>
      <c r="CL17" s="16">
        <f t="shared" si="34"/>
        <v>0</v>
      </c>
      <c r="CM17" s="16">
        <f t="shared" si="34"/>
        <v>0</v>
      </c>
      <c r="CN17" s="16">
        <f t="shared" si="34"/>
        <v>0</v>
      </c>
      <c r="CO17" s="16">
        <f t="shared" si="34"/>
        <v>0</v>
      </c>
      <c r="CP17" s="16">
        <f t="shared" si="34"/>
        <v>0</v>
      </c>
      <c r="CQ17" s="16">
        <f t="shared" si="34"/>
        <v>0</v>
      </c>
      <c r="CR17" s="16">
        <f t="shared" si="34"/>
        <v>0</v>
      </c>
      <c r="CS17" s="16">
        <f t="shared" si="34"/>
        <v>0</v>
      </c>
      <c r="CT17" s="16">
        <f t="shared" si="34"/>
        <v>0</v>
      </c>
      <c r="CU17" s="16">
        <f t="shared" si="34"/>
        <v>0</v>
      </c>
      <c r="CV17" s="16">
        <f t="shared" si="34"/>
        <v>0</v>
      </c>
      <c r="CW17" s="16">
        <f t="shared" si="34"/>
        <v>0</v>
      </c>
      <c r="CX17" s="16">
        <f t="shared" si="34"/>
        <v>0</v>
      </c>
      <c r="CY17" s="16">
        <f t="shared" si="34"/>
        <v>0</v>
      </c>
      <c r="CZ17" s="16">
        <f t="shared" si="34"/>
        <v>0</v>
      </c>
      <c r="DA17" s="16">
        <f t="shared" si="34"/>
        <v>0</v>
      </c>
      <c r="DB17" s="16">
        <f t="shared" si="34"/>
        <v>0</v>
      </c>
      <c r="DC17" s="16">
        <f t="shared" si="34"/>
        <v>0</v>
      </c>
      <c r="DD17" s="16">
        <f t="shared" si="34"/>
        <v>0</v>
      </c>
      <c r="DE17" s="16">
        <f t="shared" si="34"/>
        <v>0</v>
      </c>
      <c r="DF17" s="16">
        <f t="shared" si="34"/>
        <v>0</v>
      </c>
      <c r="DG17" s="16">
        <f t="shared" si="34"/>
        <v>0</v>
      </c>
      <c r="DH17" s="16">
        <f t="shared" si="34"/>
        <v>0</v>
      </c>
      <c r="DI17" s="16">
        <f t="shared" si="34"/>
        <v>0</v>
      </c>
      <c r="DJ17" s="16">
        <f t="shared" si="34"/>
        <v>0</v>
      </c>
      <c r="DK17" s="16">
        <f t="shared" si="34"/>
        <v>0</v>
      </c>
      <c r="DL17" s="16">
        <f t="shared" si="34"/>
        <v>0</v>
      </c>
      <c r="DM17" s="16">
        <f t="shared" si="34"/>
        <v>0</v>
      </c>
      <c r="DN17" s="16">
        <f t="shared" si="34"/>
        <v>0</v>
      </c>
      <c r="DO17" s="16">
        <f t="shared" si="34"/>
        <v>0</v>
      </c>
      <c r="DP17" s="16">
        <f t="shared" si="34"/>
        <v>0</v>
      </c>
      <c r="DQ17" s="16">
        <f t="shared" si="34"/>
        <v>0</v>
      </c>
      <c r="DR17" s="16">
        <f t="shared" si="34"/>
        <v>0</v>
      </c>
      <c r="DS17" s="16">
        <f t="shared" si="34"/>
        <v>0</v>
      </c>
      <c r="DT17" s="16">
        <f t="shared" si="34"/>
        <v>0</v>
      </c>
      <c r="DU17" s="16">
        <f t="shared" si="34"/>
        <v>0</v>
      </c>
      <c r="DV17" s="16">
        <f t="shared" si="34"/>
        <v>0</v>
      </c>
      <c r="DW17" s="16">
        <f t="shared" si="34"/>
        <v>0</v>
      </c>
      <c r="DX17" s="16">
        <f t="shared" si="34"/>
        <v>0</v>
      </c>
      <c r="DY17" s="16">
        <f t="shared" si="34"/>
        <v>0</v>
      </c>
      <c r="DZ17" s="16">
        <f t="shared" si="34"/>
        <v>0</v>
      </c>
      <c r="EA17" s="16">
        <f t="shared" si="34"/>
        <v>0</v>
      </c>
      <c r="EB17" s="16"/>
      <c r="EC17" s="16">
        <f t="shared" si="34"/>
        <v>0</v>
      </c>
      <c r="ED17" s="16">
        <f t="shared" si="34"/>
        <v>0</v>
      </c>
      <c r="EE17" s="16">
        <f t="shared" si="34"/>
        <v>0</v>
      </c>
      <c r="EF17" s="16">
        <f t="shared" si="34"/>
        <v>0</v>
      </c>
      <c r="EG17" s="16">
        <f t="shared" si="34"/>
        <v>0</v>
      </c>
      <c r="EH17" s="16">
        <f t="shared" si="34"/>
        <v>0</v>
      </c>
      <c r="EI17" s="149">
        <f t="shared" si="2"/>
        <v>0</v>
      </c>
      <c r="EJ17" s="132">
        <f t="shared" si="3"/>
        <v>0</v>
      </c>
    </row>
    <row r="18" spans="1:210" ht="15.6">
      <c r="A18" s="15" t="s">
        <v>160</v>
      </c>
      <c r="B18" s="152">
        <v>10</v>
      </c>
      <c r="C18" s="120" t="s">
        <v>448</v>
      </c>
      <c r="D18" s="796" t="s">
        <v>440</v>
      </c>
      <c r="E18" s="796"/>
      <c r="F18" s="153">
        <v>2</v>
      </c>
      <c r="G18" s="142">
        <f t="shared" ref="G18:U18" si="35">ROUNDUP($F18*G$6,0)</f>
        <v>0</v>
      </c>
      <c r="H18" s="142">
        <f t="shared" si="35"/>
        <v>0</v>
      </c>
      <c r="I18" s="142">
        <f t="shared" si="35"/>
        <v>0</v>
      </c>
      <c r="J18" s="142">
        <f t="shared" si="35"/>
        <v>0</v>
      </c>
      <c r="K18" s="142">
        <f t="shared" si="35"/>
        <v>0</v>
      </c>
      <c r="L18" s="142">
        <f t="shared" si="35"/>
        <v>0</v>
      </c>
      <c r="M18" s="142">
        <f t="shared" si="35"/>
        <v>0</v>
      </c>
      <c r="N18" s="142">
        <f t="shared" si="35"/>
        <v>0</v>
      </c>
      <c r="O18" s="142">
        <f t="shared" si="35"/>
        <v>0</v>
      </c>
      <c r="P18" s="142">
        <f t="shared" si="35"/>
        <v>0</v>
      </c>
      <c r="Q18" s="142">
        <f t="shared" si="35"/>
        <v>0</v>
      </c>
      <c r="R18" s="142">
        <f t="shared" si="35"/>
        <v>0</v>
      </c>
      <c r="S18" s="142">
        <f t="shared" si="35"/>
        <v>0</v>
      </c>
      <c r="T18" s="142">
        <f t="shared" si="35"/>
        <v>0</v>
      </c>
      <c r="U18" s="142">
        <f t="shared" si="35"/>
        <v>0</v>
      </c>
      <c r="V18" s="142">
        <f t="shared" ref="V18:EH18" si="36">ROUNDUP($F18*V$6,0)</f>
        <v>0</v>
      </c>
      <c r="W18" s="142">
        <f t="shared" si="36"/>
        <v>0</v>
      </c>
      <c r="X18" s="142">
        <f t="shared" si="36"/>
        <v>0</v>
      </c>
      <c r="Y18" s="142">
        <f t="shared" si="36"/>
        <v>0</v>
      </c>
      <c r="Z18" s="142">
        <f t="shared" si="36"/>
        <v>0</v>
      </c>
      <c r="AA18" s="142">
        <f t="shared" si="36"/>
        <v>0</v>
      </c>
      <c r="AB18" s="142">
        <f t="shared" si="36"/>
        <v>0</v>
      </c>
      <c r="AC18" s="142">
        <f t="shared" si="36"/>
        <v>0</v>
      </c>
      <c r="AD18" s="142">
        <f t="shared" si="36"/>
        <v>0</v>
      </c>
      <c r="AE18" s="142">
        <f t="shared" si="36"/>
        <v>0</v>
      </c>
      <c r="AF18" s="142">
        <f t="shared" si="36"/>
        <v>0</v>
      </c>
      <c r="AG18" s="142">
        <f t="shared" si="36"/>
        <v>0</v>
      </c>
      <c r="AH18" s="142">
        <f t="shared" si="36"/>
        <v>0</v>
      </c>
      <c r="AI18" s="142">
        <f t="shared" si="36"/>
        <v>0</v>
      </c>
      <c r="AJ18" s="142">
        <f t="shared" si="36"/>
        <v>0</v>
      </c>
      <c r="AK18" s="142">
        <f t="shared" si="36"/>
        <v>0</v>
      </c>
      <c r="AL18" s="142">
        <f t="shared" si="36"/>
        <v>0</v>
      </c>
      <c r="AM18" s="142">
        <f t="shared" si="36"/>
        <v>0</v>
      </c>
      <c r="AN18" s="142">
        <f t="shared" si="36"/>
        <v>0</v>
      </c>
      <c r="AO18" s="142">
        <f t="shared" si="36"/>
        <v>0</v>
      </c>
      <c r="AP18" s="142">
        <f t="shared" si="36"/>
        <v>0</v>
      </c>
      <c r="AQ18" s="142">
        <f t="shared" si="36"/>
        <v>0</v>
      </c>
      <c r="AR18" s="142">
        <f t="shared" si="36"/>
        <v>0</v>
      </c>
      <c r="AS18" s="142">
        <f t="shared" si="36"/>
        <v>0</v>
      </c>
      <c r="AT18" s="142">
        <f t="shared" si="36"/>
        <v>0</v>
      </c>
      <c r="AU18" s="142">
        <f t="shared" si="36"/>
        <v>0</v>
      </c>
      <c r="AV18" s="142">
        <f t="shared" si="36"/>
        <v>0</v>
      </c>
      <c r="AW18" s="142">
        <f t="shared" si="36"/>
        <v>0</v>
      </c>
      <c r="AX18" s="142">
        <f t="shared" si="36"/>
        <v>0</v>
      </c>
      <c r="AY18" s="142">
        <f t="shared" si="36"/>
        <v>0</v>
      </c>
      <c r="AZ18" s="142">
        <f t="shared" si="36"/>
        <v>0</v>
      </c>
      <c r="BA18" s="142">
        <f t="shared" si="36"/>
        <v>0</v>
      </c>
      <c r="BB18" s="142">
        <f t="shared" si="36"/>
        <v>0</v>
      </c>
      <c r="BC18" s="142">
        <f t="shared" si="36"/>
        <v>0</v>
      </c>
      <c r="BD18" s="142">
        <f t="shared" si="36"/>
        <v>0</v>
      </c>
      <c r="BE18" s="142">
        <f t="shared" si="36"/>
        <v>0</v>
      </c>
      <c r="BF18" s="142">
        <f t="shared" si="36"/>
        <v>0</v>
      </c>
      <c r="BG18" s="142">
        <f t="shared" si="36"/>
        <v>0</v>
      </c>
      <c r="BH18" s="142">
        <f t="shared" si="36"/>
        <v>0</v>
      </c>
      <c r="BI18" s="142">
        <f t="shared" si="36"/>
        <v>0</v>
      </c>
      <c r="BJ18" s="142">
        <f t="shared" si="36"/>
        <v>0</v>
      </c>
      <c r="BK18" s="142">
        <f t="shared" si="36"/>
        <v>0</v>
      </c>
      <c r="BL18" s="142">
        <f t="shared" si="36"/>
        <v>0</v>
      </c>
      <c r="BM18" s="142">
        <f t="shared" si="36"/>
        <v>0</v>
      </c>
      <c r="BN18" s="142">
        <f t="shared" si="36"/>
        <v>0</v>
      </c>
      <c r="BO18" s="142">
        <f t="shared" si="36"/>
        <v>0</v>
      </c>
      <c r="BP18" s="142">
        <f t="shared" si="36"/>
        <v>0</v>
      </c>
      <c r="BQ18" s="142">
        <f t="shared" si="36"/>
        <v>0</v>
      </c>
      <c r="BR18" s="142">
        <f t="shared" si="36"/>
        <v>0</v>
      </c>
      <c r="BS18" s="142">
        <f t="shared" si="36"/>
        <v>0</v>
      </c>
      <c r="BT18" s="142">
        <f t="shared" si="36"/>
        <v>0</v>
      </c>
      <c r="BU18" s="142">
        <f t="shared" si="36"/>
        <v>0</v>
      </c>
      <c r="BV18" s="142">
        <f t="shared" si="36"/>
        <v>0</v>
      </c>
      <c r="BW18" s="142">
        <f t="shared" si="36"/>
        <v>0</v>
      </c>
      <c r="BX18" s="142">
        <f t="shared" si="36"/>
        <v>0</v>
      </c>
      <c r="BY18" s="142">
        <f t="shared" si="36"/>
        <v>0</v>
      </c>
      <c r="BZ18" s="142">
        <f t="shared" si="36"/>
        <v>0</v>
      </c>
      <c r="CA18" s="142">
        <f t="shared" si="36"/>
        <v>0</v>
      </c>
      <c r="CB18" s="142">
        <f t="shared" si="36"/>
        <v>0</v>
      </c>
      <c r="CC18" s="142">
        <f t="shared" si="36"/>
        <v>0</v>
      </c>
      <c r="CD18" s="142">
        <f t="shared" si="36"/>
        <v>0</v>
      </c>
      <c r="CE18" s="142">
        <f t="shared" si="36"/>
        <v>0</v>
      </c>
      <c r="CF18" s="142">
        <f t="shared" si="36"/>
        <v>0</v>
      </c>
      <c r="CG18" s="128">
        <f t="shared" si="36"/>
        <v>0</v>
      </c>
      <c r="CH18" s="128">
        <f t="shared" si="36"/>
        <v>0</v>
      </c>
      <c r="CI18" s="128">
        <f t="shared" si="36"/>
        <v>0</v>
      </c>
      <c r="CJ18" s="128">
        <f t="shared" si="36"/>
        <v>0</v>
      </c>
      <c r="CK18" s="128">
        <f t="shared" si="36"/>
        <v>0</v>
      </c>
      <c r="CL18" s="128">
        <f t="shared" si="36"/>
        <v>0</v>
      </c>
      <c r="CM18" s="128">
        <f t="shared" si="36"/>
        <v>0</v>
      </c>
      <c r="CN18" s="128">
        <f t="shared" si="36"/>
        <v>0</v>
      </c>
      <c r="CO18" s="128">
        <f t="shared" si="36"/>
        <v>0</v>
      </c>
      <c r="CP18" s="128">
        <f t="shared" si="36"/>
        <v>0</v>
      </c>
      <c r="CQ18" s="128">
        <f t="shared" si="36"/>
        <v>0</v>
      </c>
      <c r="CR18" s="128">
        <f t="shared" si="36"/>
        <v>0</v>
      </c>
      <c r="CS18" s="128">
        <f t="shared" si="36"/>
        <v>0</v>
      </c>
      <c r="CT18" s="128">
        <f t="shared" si="36"/>
        <v>0</v>
      </c>
      <c r="CU18" s="128">
        <f t="shared" si="36"/>
        <v>0</v>
      </c>
      <c r="CV18" s="128">
        <f t="shared" si="36"/>
        <v>0</v>
      </c>
      <c r="CW18" s="128">
        <f t="shared" si="36"/>
        <v>0</v>
      </c>
      <c r="CX18" s="128">
        <f t="shared" si="36"/>
        <v>0</v>
      </c>
      <c r="CY18" s="128">
        <f t="shared" si="36"/>
        <v>0</v>
      </c>
      <c r="CZ18" s="128">
        <f t="shared" si="36"/>
        <v>0</v>
      </c>
      <c r="DA18" s="128">
        <f t="shared" si="36"/>
        <v>0</v>
      </c>
      <c r="DB18" s="128">
        <f t="shared" si="36"/>
        <v>0</v>
      </c>
      <c r="DC18" s="128">
        <f t="shared" si="36"/>
        <v>0</v>
      </c>
      <c r="DD18" s="128">
        <f t="shared" si="36"/>
        <v>0</v>
      </c>
      <c r="DE18" s="128">
        <f t="shared" si="36"/>
        <v>0</v>
      </c>
      <c r="DF18" s="128">
        <f t="shared" si="36"/>
        <v>0</v>
      </c>
      <c r="DG18" s="128">
        <f t="shared" si="36"/>
        <v>0</v>
      </c>
      <c r="DH18" s="128">
        <f t="shared" si="36"/>
        <v>0</v>
      </c>
      <c r="DI18" s="128">
        <f t="shared" si="36"/>
        <v>0</v>
      </c>
      <c r="DJ18" s="128">
        <f t="shared" si="36"/>
        <v>0</v>
      </c>
      <c r="DK18" s="128">
        <f t="shared" si="36"/>
        <v>0</v>
      </c>
      <c r="DL18" s="128">
        <f t="shared" si="36"/>
        <v>0</v>
      </c>
      <c r="DM18" s="128">
        <f t="shared" si="36"/>
        <v>0</v>
      </c>
      <c r="DN18" s="128">
        <f t="shared" si="36"/>
        <v>0</v>
      </c>
      <c r="DO18" s="128">
        <f t="shared" si="36"/>
        <v>0</v>
      </c>
      <c r="DP18" s="128">
        <f t="shared" si="36"/>
        <v>0</v>
      </c>
      <c r="DQ18" s="128">
        <f t="shared" si="36"/>
        <v>0</v>
      </c>
      <c r="DR18" s="128">
        <f t="shared" si="36"/>
        <v>0</v>
      </c>
      <c r="DS18" s="128">
        <f t="shared" si="36"/>
        <v>0</v>
      </c>
      <c r="DT18" s="128">
        <f t="shared" si="36"/>
        <v>0</v>
      </c>
      <c r="DU18" s="128">
        <f t="shared" si="36"/>
        <v>0</v>
      </c>
      <c r="DV18" s="128">
        <f t="shared" si="36"/>
        <v>0</v>
      </c>
      <c r="DW18" s="128">
        <f t="shared" si="36"/>
        <v>0</v>
      </c>
      <c r="DX18" s="128">
        <f t="shared" si="36"/>
        <v>0</v>
      </c>
      <c r="DY18" s="128">
        <f t="shared" si="36"/>
        <v>0</v>
      </c>
      <c r="DZ18" s="128">
        <f t="shared" si="36"/>
        <v>0</v>
      </c>
      <c r="EA18" s="128">
        <f t="shared" si="36"/>
        <v>0</v>
      </c>
      <c r="EB18" s="128"/>
      <c r="EC18" s="128">
        <f t="shared" si="36"/>
        <v>0</v>
      </c>
      <c r="ED18" s="128">
        <f t="shared" si="36"/>
        <v>0</v>
      </c>
      <c r="EE18" s="128">
        <f t="shared" si="36"/>
        <v>0</v>
      </c>
      <c r="EF18" s="16">
        <f t="shared" si="36"/>
        <v>0</v>
      </c>
      <c r="EG18" s="16">
        <f t="shared" si="36"/>
        <v>0</v>
      </c>
      <c r="EH18" s="16">
        <f t="shared" si="36"/>
        <v>0</v>
      </c>
      <c r="EI18" s="149">
        <f t="shared" si="2"/>
        <v>0</v>
      </c>
      <c r="EJ18" s="132">
        <f>EI18*$B$5</f>
        <v>0</v>
      </c>
    </row>
    <row r="19" spans="1:210" ht="15.6">
      <c r="A19" s="15" t="s">
        <v>160</v>
      </c>
      <c r="B19" s="152">
        <v>11</v>
      </c>
      <c r="C19" s="156" t="s">
        <v>80</v>
      </c>
      <c r="D19" s="797" t="str">
        <f>IF(C19="לחמניית צליאק","2ל-1","1ל-1")</f>
        <v>1ל-1</v>
      </c>
      <c r="E19" s="797"/>
      <c r="F19" s="153" t="str">
        <f>IF(C19="לחמניית צליאק","2","1")</f>
        <v>1</v>
      </c>
      <c r="G19" s="141">
        <f t="shared" ref="G19:U19" si="37">ROUNDUP($F19*G7,0)</f>
        <v>0</v>
      </c>
      <c r="H19" s="141">
        <f t="shared" si="37"/>
        <v>0</v>
      </c>
      <c r="I19" s="141">
        <f t="shared" si="37"/>
        <v>0</v>
      </c>
      <c r="J19" s="141">
        <f t="shared" si="37"/>
        <v>0</v>
      </c>
      <c r="K19" s="141">
        <f t="shared" si="37"/>
        <v>0</v>
      </c>
      <c r="L19" s="141">
        <f t="shared" si="37"/>
        <v>0</v>
      </c>
      <c r="M19" s="141">
        <f t="shared" si="37"/>
        <v>0</v>
      </c>
      <c r="N19" s="141">
        <f t="shared" si="37"/>
        <v>0</v>
      </c>
      <c r="O19" s="141">
        <f t="shared" si="37"/>
        <v>0</v>
      </c>
      <c r="P19" s="141">
        <f t="shared" si="37"/>
        <v>0</v>
      </c>
      <c r="Q19" s="141">
        <f t="shared" si="37"/>
        <v>0</v>
      </c>
      <c r="R19" s="141">
        <f t="shared" si="37"/>
        <v>0</v>
      </c>
      <c r="S19" s="141">
        <f t="shared" si="37"/>
        <v>0</v>
      </c>
      <c r="T19" s="141">
        <f t="shared" si="37"/>
        <v>0</v>
      </c>
      <c r="U19" s="141">
        <f t="shared" si="37"/>
        <v>0</v>
      </c>
      <c r="V19" s="141">
        <f t="shared" ref="V19:AZ19" si="38">ROUNDUP($F19*V7,0)</f>
        <v>0</v>
      </c>
      <c r="W19" s="141">
        <f t="shared" si="38"/>
        <v>0</v>
      </c>
      <c r="X19" s="141">
        <f t="shared" si="38"/>
        <v>0</v>
      </c>
      <c r="Y19" s="141">
        <f t="shared" si="38"/>
        <v>0</v>
      </c>
      <c r="Z19" s="141">
        <f t="shared" si="38"/>
        <v>0</v>
      </c>
      <c r="AA19" s="141">
        <f t="shared" si="38"/>
        <v>0</v>
      </c>
      <c r="AB19" s="141">
        <f t="shared" si="38"/>
        <v>0</v>
      </c>
      <c r="AC19" s="141">
        <f>ROUNDUP($F19*AC7,0)</f>
        <v>0</v>
      </c>
      <c r="AD19" s="141">
        <f t="shared" si="38"/>
        <v>0</v>
      </c>
      <c r="AE19" s="141">
        <f t="shared" si="38"/>
        <v>0</v>
      </c>
      <c r="AF19" s="141">
        <f t="shared" si="38"/>
        <v>0</v>
      </c>
      <c r="AG19" s="141">
        <f t="shared" si="38"/>
        <v>0</v>
      </c>
      <c r="AH19" s="141">
        <f t="shared" si="38"/>
        <v>0</v>
      </c>
      <c r="AI19" s="141">
        <f>ROUNDUP($F19*AI7,0)</f>
        <v>0</v>
      </c>
      <c r="AJ19" s="141">
        <f t="shared" si="38"/>
        <v>0</v>
      </c>
      <c r="AK19" s="141">
        <f t="shared" si="38"/>
        <v>0</v>
      </c>
      <c r="AL19" s="141">
        <f t="shared" si="38"/>
        <v>0</v>
      </c>
      <c r="AM19" s="141">
        <f t="shared" si="38"/>
        <v>0</v>
      </c>
      <c r="AN19" s="141">
        <f t="shared" si="38"/>
        <v>0</v>
      </c>
      <c r="AO19" s="141">
        <f t="shared" si="38"/>
        <v>0</v>
      </c>
      <c r="AP19" s="141">
        <f t="shared" si="38"/>
        <v>0</v>
      </c>
      <c r="AQ19" s="141">
        <f t="shared" si="38"/>
        <v>0</v>
      </c>
      <c r="AR19" s="141">
        <f t="shared" si="38"/>
        <v>0</v>
      </c>
      <c r="AS19" s="141">
        <f t="shared" si="38"/>
        <v>0</v>
      </c>
      <c r="AT19" s="141">
        <f t="shared" si="38"/>
        <v>0</v>
      </c>
      <c r="AU19" s="141">
        <f t="shared" si="38"/>
        <v>0</v>
      </c>
      <c r="AV19" s="141">
        <f>ROUNDUP($F19*AV7,0)</f>
        <v>0</v>
      </c>
      <c r="AW19" s="141">
        <f t="shared" si="38"/>
        <v>0</v>
      </c>
      <c r="AX19" s="141">
        <f t="shared" si="38"/>
        <v>0</v>
      </c>
      <c r="AY19" s="141">
        <f t="shared" si="38"/>
        <v>0</v>
      </c>
      <c r="AZ19" s="141">
        <f t="shared" si="38"/>
        <v>0</v>
      </c>
      <c r="BA19" s="141">
        <f t="shared" ref="BA19:EH19" si="39">ROUNDUP($F19*BA7,0)</f>
        <v>0</v>
      </c>
      <c r="BB19" s="141">
        <f t="shared" si="39"/>
        <v>0</v>
      </c>
      <c r="BC19" s="141">
        <f t="shared" si="39"/>
        <v>0</v>
      </c>
      <c r="BD19" s="141">
        <f t="shared" si="39"/>
        <v>0</v>
      </c>
      <c r="BE19" s="141">
        <f t="shared" si="39"/>
        <v>0</v>
      </c>
      <c r="BF19" s="141">
        <f t="shared" si="39"/>
        <v>0</v>
      </c>
      <c r="BG19" s="141">
        <f t="shared" ref="BG19:BS19" si="40">ROUNDUP($F19*BG7,0)</f>
        <v>0</v>
      </c>
      <c r="BH19" s="141">
        <f t="shared" si="40"/>
        <v>0</v>
      </c>
      <c r="BI19" s="141">
        <f t="shared" si="40"/>
        <v>0</v>
      </c>
      <c r="BJ19" s="141">
        <f t="shared" si="40"/>
        <v>0</v>
      </c>
      <c r="BK19" s="141">
        <f t="shared" si="40"/>
        <v>0</v>
      </c>
      <c r="BL19" s="141">
        <f t="shared" si="40"/>
        <v>0</v>
      </c>
      <c r="BM19" s="141">
        <f t="shared" si="40"/>
        <v>0</v>
      </c>
      <c r="BN19" s="141">
        <f t="shared" si="40"/>
        <v>0</v>
      </c>
      <c r="BO19" s="141">
        <f t="shared" si="40"/>
        <v>0</v>
      </c>
      <c r="BP19" s="141">
        <f t="shared" si="40"/>
        <v>0</v>
      </c>
      <c r="BQ19" s="141">
        <f t="shared" si="40"/>
        <v>0</v>
      </c>
      <c r="BR19" s="141">
        <f t="shared" si="40"/>
        <v>0</v>
      </c>
      <c r="BS19" s="141">
        <f t="shared" si="40"/>
        <v>0</v>
      </c>
      <c r="BT19" s="141">
        <f t="shared" si="39"/>
        <v>0</v>
      </c>
      <c r="BU19" s="141">
        <f t="shared" si="39"/>
        <v>0</v>
      </c>
      <c r="BV19" s="141">
        <f t="shared" si="39"/>
        <v>0</v>
      </c>
      <c r="BW19" s="141">
        <f t="shared" si="39"/>
        <v>0</v>
      </c>
      <c r="BX19" s="141">
        <f t="shared" si="39"/>
        <v>0</v>
      </c>
      <c r="BY19" s="141">
        <f>ROUNDUP($F19*BY7,0)</f>
        <v>0</v>
      </c>
      <c r="BZ19" s="141">
        <f>ROUNDUP($F19*BZ7,0)</f>
        <v>0</v>
      </c>
      <c r="CA19" s="141">
        <f t="shared" si="39"/>
        <v>0</v>
      </c>
      <c r="CB19" s="141">
        <f t="shared" si="39"/>
        <v>0</v>
      </c>
      <c r="CC19" s="141">
        <f t="shared" si="39"/>
        <v>0</v>
      </c>
      <c r="CD19" s="141">
        <f t="shared" si="39"/>
        <v>0</v>
      </c>
      <c r="CE19" s="141">
        <f>ROUNDUP($F19*CE7,0)</f>
        <v>0</v>
      </c>
      <c r="CF19" s="141">
        <f t="shared" si="39"/>
        <v>0</v>
      </c>
      <c r="CG19" s="16">
        <f t="shared" si="39"/>
        <v>0</v>
      </c>
      <c r="CH19" s="16">
        <f t="shared" si="39"/>
        <v>0</v>
      </c>
      <c r="CI19" s="16">
        <f t="shared" si="39"/>
        <v>0</v>
      </c>
      <c r="CJ19" s="16">
        <f t="shared" si="39"/>
        <v>0</v>
      </c>
      <c r="CK19" s="16">
        <f t="shared" si="39"/>
        <v>0</v>
      </c>
      <c r="CL19" s="16">
        <f t="shared" si="39"/>
        <v>0</v>
      </c>
      <c r="CM19" s="16">
        <f t="shared" si="39"/>
        <v>0</v>
      </c>
      <c r="CN19" s="16">
        <f t="shared" si="39"/>
        <v>0</v>
      </c>
      <c r="CO19" s="16">
        <f t="shared" si="39"/>
        <v>0</v>
      </c>
      <c r="CP19" s="16">
        <f t="shared" si="39"/>
        <v>0</v>
      </c>
      <c r="CQ19" s="16">
        <f t="shared" si="39"/>
        <v>0</v>
      </c>
      <c r="CR19" s="16">
        <f t="shared" si="39"/>
        <v>0</v>
      </c>
      <c r="CS19" s="16">
        <f t="shared" ref="CS19:DG19" si="41">ROUNDUP($F19*CS7,0)</f>
        <v>0</v>
      </c>
      <c r="CT19" s="16">
        <f t="shared" si="41"/>
        <v>0</v>
      </c>
      <c r="CU19" s="16">
        <f t="shared" si="41"/>
        <v>0</v>
      </c>
      <c r="CV19" s="16">
        <f t="shared" si="41"/>
        <v>0</v>
      </c>
      <c r="CW19" s="16">
        <f t="shared" si="41"/>
        <v>0</v>
      </c>
      <c r="CX19" s="16">
        <f t="shared" si="41"/>
        <v>0</v>
      </c>
      <c r="CY19" s="16">
        <f t="shared" si="41"/>
        <v>0</v>
      </c>
      <c r="CZ19" s="16">
        <f t="shared" si="41"/>
        <v>0</v>
      </c>
      <c r="DA19" s="16">
        <f t="shared" si="41"/>
        <v>0</v>
      </c>
      <c r="DB19" s="16">
        <f t="shared" si="41"/>
        <v>0</v>
      </c>
      <c r="DC19" s="16">
        <f t="shared" si="41"/>
        <v>0</v>
      </c>
      <c r="DD19" s="16">
        <f t="shared" si="41"/>
        <v>0</v>
      </c>
      <c r="DE19" s="16">
        <f t="shared" si="41"/>
        <v>0</v>
      </c>
      <c r="DF19" s="16">
        <f t="shared" si="41"/>
        <v>0</v>
      </c>
      <c r="DG19" s="16">
        <f t="shared" si="41"/>
        <v>0</v>
      </c>
      <c r="DH19" s="16">
        <f t="shared" si="39"/>
        <v>0</v>
      </c>
      <c r="DI19" s="16">
        <f t="shared" si="39"/>
        <v>0</v>
      </c>
      <c r="DJ19" s="16">
        <f t="shared" si="39"/>
        <v>0</v>
      </c>
      <c r="DK19" s="16">
        <f t="shared" si="39"/>
        <v>0</v>
      </c>
      <c r="DL19" s="16">
        <f t="shared" si="39"/>
        <v>0</v>
      </c>
      <c r="DM19" s="16">
        <f t="shared" si="39"/>
        <v>0</v>
      </c>
      <c r="DN19" s="16">
        <f t="shared" si="39"/>
        <v>0</v>
      </c>
      <c r="DO19" s="16">
        <f t="shared" si="39"/>
        <v>0</v>
      </c>
      <c r="DP19" s="16">
        <f t="shared" si="39"/>
        <v>0</v>
      </c>
      <c r="DQ19" s="16">
        <f t="shared" si="39"/>
        <v>0</v>
      </c>
      <c r="DR19" s="16">
        <f t="shared" si="39"/>
        <v>0</v>
      </c>
      <c r="DS19" s="16">
        <f t="shared" si="39"/>
        <v>0</v>
      </c>
      <c r="DT19" s="16">
        <f t="shared" si="39"/>
        <v>0</v>
      </c>
      <c r="DU19" s="16">
        <f t="shared" si="39"/>
        <v>0</v>
      </c>
      <c r="DV19" s="16">
        <f t="shared" si="39"/>
        <v>0</v>
      </c>
      <c r="DW19" s="16">
        <f t="shared" si="39"/>
        <v>0</v>
      </c>
      <c r="DX19" s="16">
        <f t="shared" si="39"/>
        <v>0</v>
      </c>
      <c r="DY19" s="16">
        <f t="shared" si="39"/>
        <v>0</v>
      </c>
      <c r="DZ19" s="16">
        <f t="shared" si="39"/>
        <v>0</v>
      </c>
      <c r="EA19" s="16">
        <f t="shared" si="39"/>
        <v>0</v>
      </c>
      <c r="EB19" s="16"/>
      <c r="EC19" s="16">
        <f t="shared" si="39"/>
        <v>0</v>
      </c>
      <c r="ED19" s="16">
        <f t="shared" si="39"/>
        <v>0</v>
      </c>
      <c r="EE19" s="16">
        <f t="shared" si="39"/>
        <v>0</v>
      </c>
      <c r="EF19" s="16">
        <f t="shared" si="39"/>
        <v>0</v>
      </c>
      <c r="EG19" s="16">
        <f t="shared" si="39"/>
        <v>0</v>
      </c>
      <c r="EH19" s="16">
        <f t="shared" si="39"/>
        <v>0</v>
      </c>
      <c r="EI19" s="149">
        <f t="shared" si="2"/>
        <v>0</v>
      </c>
      <c r="EJ19" s="132">
        <f t="shared" si="3"/>
        <v>0</v>
      </c>
    </row>
    <row r="20" spans="1:210" ht="15.6">
      <c r="A20" s="15" t="s">
        <v>160</v>
      </c>
      <c r="B20" s="152">
        <v>12</v>
      </c>
      <c r="C20" s="14" t="s">
        <v>150</v>
      </c>
      <c r="D20" s="796" t="s">
        <v>149</v>
      </c>
      <c r="E20" s="796"/>
      <c r="F20" s="153">
        <f>1/3</f>
        <v>0.33333333333333331</v>
      </c>
      <c r="G20" s="141">
        <f t="shared" ref="G20:N27" si="42">ROUNDUP($F20*G$4,0)</f>
        <v>0</v>
      </c>
      <c r="H20" s="141">
        <f t="shared" si="42"/>
        <v>0</v>
      </c>
      <c r="I20" s="141">
        <f t="shared" si="42"/>
        <v>0</v>
      </c>
      <c r="J20" s="141">
        <f t="shared" si="42"/>
        <v>0</v>
      </c>
      <c r="K20" s="141">
        <f t="shared" si="42"/>
        <v>0</v>
      </c>
      <c r="L20" s="141">
        <f t="shared" si="42"/>
        <v>0</v>
      </c>
      <c r="M20" s="141">
        <f t="shared" si="42"/>
        <v>0</v>
      </c>
      <c r="N20" s="141">
        <f t="shared" si="42"/>
        <v>0</v>
      </c>
      <c r="O20" s="141">
        <f t="shared" ref="O20:U27" si="43">ROUNDUP($F20*O$4,0)</f>
        <v>0</v>
      </c>
      <c r="P20" s="141">
        <f t="shared" si="43"/>
        <v>0</v>
      </c>
      <c r="Q20" s="141">
        <f t="shared" si="43"/>
        <v>0</v>
      </c>
      <c r="R20" s="141">
        <f t="shared" si="43"/>
        <v>0</v>
      </c>
      <c r="S20" s="141">
        <f t="shared" si="43"/>
        <v>0</v>
      </c>
      <c r="T20" s="141">
        <f t="shared" si="43"/>
        <v>0</v>
      </c>
      <c r="U20" s="141">
        <f t="shared" si="43"/>
        <v>0</v>
      </c>
      <c r="V20" s="141">
        <f t="shared" ref="V20:BU25" si="44">ROUNDUP($F20*V$4,0)</f>
        <v>0</v>
      </c>
      <c r="W20" s="141">
        <f t="shared" si="44"/>
        <v>0</v>
      </c>
      <c r="X20" s="141">
        <f t="shared" si="44"/>
        <v>0</v>
      </c>
      <c r="Y20" s="141">
        <f t="shared" si="44"/>
        <v>0</v>
      </c>
      <c r="Z20" s="141">
        <f t="shared" si="44"/>
        <v>0</v>
      </c>
      <c r="AA20" s="141">
        <f t="shared" si="44"/>
        <v>0</v>
      </c>
      <c r="AB20" s="141">
        <f t="shared" si="44"/>
        <v>0</v>
      </c>
      <c r="AC20" s="141">
        <f t="shared" si="44"/>
        <v>0</v>
      </c>
      <c r="AD20" s="141">
        <f t="shared" si="44"/>
        <v>0</v>
      </c>
      <c r="AE20" s="141">
        <f t="shared" si="44"/>
        <v>0</v>
      </c>
      <c r="AF20" s="141">
        <f t="shared" si="44"/>
        <v>0</v>
      </c>
      <c r="AG20" s="141">
        <f t="shared" si="44"/>
        <v>0</v>
      </c>
      <c r="AH20" s="141">
        <f t="shared" si="44"/>
        <v>0</v>
      </c>
      <c r="AI20" s="141">
        <f t="shared" si="44"/>
        <v>0</v>
      </c>
      <c r="AJ20" s="141">
        <f t="shared" si="44"/>
        <v>0</v>
      </c>
      <c r="AK20" s="141">
        <f t="shared" si="44"/>
        <v>0</v>
      </c>
      <c r="AL20" s="141">
        <f t="shared" si="44"/>
        <v>0</v>
      </c>
      <c r="AM20" s="141">
        <f t="shared" si="44"/>
        <v>0</v>
      </c>
      <c r="AN20" s="141">
        <f t="shared" si="44"/>
        <v>0</v>
      </c>
      <c r="AO20" s="141">
        <f t="shared" si="44"/>
        <v>0</v>
      </c>
      <c r="AP20" s="141">
        <f t="shared" si="44"/>
        <v>0</v>
      </c>
      <c r="AQ20" s="141">
        <f t="shared" si="44"/>
        <v>0</v>
      </c>
      <c r="AR20" s="141">
        <f t="shared" si="44"/>
        <v>0</v>
      </c>
      <c r="AS20" s="141">
        <f t="shared" si="44"/>
        <v>0</v>
      </c>
      <c r="AT20" s="141">
        <f t="shared" si="44"/>
        <v>0</v>
      </c>
      <c r="AU20" s="141">
        <f t="shared" si="44"/>
        <v>0</v>
      </c>
      <c r="AV20" s="141">
        <f t="shared" si="44"/>
        <v>0</v>
      </c>
      <c r="AW20" s="141">
        <f t="shared" si="44"/>
        <v>0</v>
      </c>
      <c r="AX20" s="141">
        <f t="shared" si="44"/>
        <v>0</v>
      </c>
      <c r="AY20" s="141">
        <f t="shared" si="44"/>
        <v>0</v>
      </c>
      <c r="AZ20" s="141">
        <f t="shared" si="44"/>
        <v>0</v>
      </c>
      <c r="BA20" s="141">
        <f t="shared" si="44"/>
        <v>0</v>
      </c>
      <c r="BB20" s="141">
        <f t="shared" si="44"/>
        <v>0</v>
      </c>
      <c r="BC20" s="141">
        <f t="shared" si="44"/>
        <v>0</v>
      </c>
      <c r="BD20" s="141">
        <f t="shared" si="44"/>
        <v>0</v>
      </c>
      <c r="BE20" s="141">
        <f t="shared" si="44"/>
        <v>0</v>
      </c>
      <c r="BF20" s="141">
        <f t="shared" si="44"/>
        <v>0</v>
      </c>
      <c r="BG20" s="141">
        <f t="shared" si="44"/>
        <v>0</v>
      </c>
      <c r="BH20" s="141">
        <f t="shared" si="44"/>
        <v>0</v>
      </c>
      <c r="BI20" s="141">
        <f t="shared" si="44"/>
        <v>0</v>
      </c>
      <c r="BJ20" s="141">
        <f t="shared" si="44"/>
        <v>0</v>
      </c>
      <c r="BK20" s="141">
        <f t="shared" si="44"/>
        <v>0</v>
      </c>
      <c r="BL20" s="141">
        <f t="shared" si="44"/>
        <v>0</v>
      </c>
      <c r="BM20" s="141">
        <f t="shared" si="44"/>
        <v>0</v>
      </c>
      <c r="BN20" s="141">
        <f t="shared" si="44"/>
        <v>0</v>
      </c>
      <c r="BO20" s="141">
        <f t="shared" si="44"/>
        <v>0</v>
      </c>
      <c r="BP20" s="141">
        <f t="shared" si="44"/>
        <v>0</v>
      </c>
      <c r="BQ20" s="141">
        <f t="shared" si="44"/>
        <v>0</v>
      </c>
      <c r="BR20" s="141">
        <f t="shared" si="44"/>
        <v>0</v>
      </c>
      <c r="BS20" s="141">
        <f t="shared" si="44"/>
        <v>0</v>
      </c>
      <c r="BT20" s="141">
        <f t="shared" si="44"/>
        <v>0</v>
      </c>
      <c r="BU20" s="141">
        <f t="shared" si="44"/>
        <v>0</v>
      </c>
      <c r="BV20" s="141">
        <f t="shared" ref="BA20:EH24" si="45">ROUNDUP($F20*BV$4,0)</f>
        <v>0</v>
      </c>
      <c r="BW20" s="141">
        <f t="shared" si="45"/>
        <v>0</v>
      </c>
      <c r="BX20" s="141">
        <f t="shared" si="45"/>
        <v>0</v>
      </c>
      <c r="BY20" s="141">
        <f t="shared" si="45"/>
        <v>0</v>
      </c>
      <c r="BZ20" s="141">
        <f t="shared" si="45"/>
        <v>0</v>
      </c>
      <c r="CA20" s="141">
        <f t="shared" si="45"/>
        <v>0</v>
      </c>
      <c r="CB20" s="141">
        <f t="shared" si="45"/>
        <v>0</v>
      </c>
      <c r="CC20" s="141">
        <f t="shared" si="45"/>
        <v>0</v>
      </c>
      <c r="CD20" s="141">
        <f t="shared" si="45"/>
        <v>0</v>
      </c>
      <c r="CE20" s="141">
        <f t="shared" si="45"/>
        <v>0</v>
      </c>
      <c r="CF20" s="141">
        <f t="shared" si="45"/>
        <v>0</v>
      </c>
      <c r="CG20" s="16">
        <f t="shared" si="45"/>
        <v>0</v>
      </c>
      <c r="CH20" s="16">
        <f t="shared" si="45"/>
        <v>0</v>
      </c>
      <c r="CI20" s="16">
        <f t="shared" si="45"/>
        <v>0</v>
      </c>
      <c r="CJ20" s="16">
        <f t="shared" si="45"/>
        <v>0</v>
      </c>
      <c r="CK20" s="16">
        <f t="shared" si="45"/>
        <v>0</v>
      </c>
      <c r="CL20" s="16">
        <f t="shared" si="45"/>
        <v>0</v>
      </c>
      <c r="CM20" s="16">
        <f t="shared" si="45"/>
        <v>0</v>
      </c>
      <c r="CN20" s="16">
        <f t="shared" si="45"/>
        <v>0</v>
      </c>
      <c r="CO20" s="16">
        <f t="shared" si="45"/>
        <v>0</v>
      </c>
      <c r="CP20" s="16">
        <f t="shared" si="45"/>
        <v>0</v>
      </c>
      <c r="CQ20" s="16">
        <f t="shared" si="45"/>
        <v>0</v>
      </c>
      <c r="CR20" s="16">
        <f t="shared" si="45"/>
        <v>0</v>
      </c>
      <c r="CS20" s="16">
        <f t="shared" ref="CS20:DG23" si="46">ROUNDUP($F20*CS$4,0)</f>
        <v>0</v>
      </c>
      <c r="CT20" s="16">
        <f t="shared" si="46"/>
        <v>0</v>
      </c>
      <c r="CU20" s="16">
        <f t="shared" si="46"/>
        <v>0</v>
      </c>
      <c r="CV20" s="16">
        <f t="shared" si="46"/>
        <v>0</v>
      </c>
      <c r="CW20" s="16">
        <f t="shared" si="46"/>
        <v>0</v>
      </c>
      <c r="CX20" s="16">
        <f t="shared" si="46"/>
        <v>0</v>
      </c>
      <c r="CY20" s="16">
        <f t="shared" si="46"/>
        <v>0</v>
      </c>
      <c r="CZ20" s="16">
        <f t="shared" si="46"/>
        <v>0</v>
      </c>
      <c r="DA20" s="16">
        <f t="shared" si="46"/>
        <v>0</v>
      </c>
      <c r="DB20" s="16">
        <f t="shared" si="46"/>
        <v>0</v>
      </c>
      <c r="DC20" s="16">
        <f t="shared" si="46"/>
        <v>0</v>
      </c>
      <c r="DD20" s="16">
        <f t="shared" si="46"/>
        <v>0</v>
      </c>
      <c r="DE20" s="16">
        <f t="shared" si="46"/>
        <v>0</v>
      </c>
      <c r="DF20" s="16">
        <f t="shared" si="46"/>
        <v>0</v>
      </c>
      <c r="DG20" s="16">
        <f t="shared" si="46"/>
        <v>0</v>
      </c>
      <c r="DH20" s="16">
        <f t="shared" si="45"/>
        <v>0</v>
      </c>
      <c r="DI20" s="16">
        <f t="shared" si="45"/>
        <v>0</v>
      </c>
      <c r="DJ20" s="16">
        <f t="shared" si="45"/>
        <v>0</v>
      </c>
      <c r="DK20" s="16">
        <f t="shared" si="45"/>
        <v>0</v>
      </c>
      <c r="DL20" s="16">
        <f t="shared" si="45"/>
        <v>0</v>
      </c>
      <c r="DM20" s="16">
        <f t="shared" si="45"/>
        <v>0</v>
      </c>
      <c r="DN20" s="16">
        <f t="shared" si="45"/>
        <v>0</v>
      </c>
      <c r="DO20" s="16">
        <f t="shared" si="45"/>
        <v>0</v>
      </c>
      <c r="DP20" s="16">
        <f t="shared" si="45"/>
        <v>0</v>
      </c>
      <c r="DQ20" s="16">
        <f t="shared" si="45"/>
        <v>0</v>
      </c>
      <c r="DR20" s="16">
        <f t="shared" si="45"/>
        <v>0</v>
      </c>
      <c r="DS20" s="16">
        <f t="shared" si="45"/>
        <v>0</v>
      </c>
      <c r="DT20" s="16">
        <f t="shared" si="45"/>
        <v>0</v>
      </c>
      <c r="DU20" s="16">
        <f t="shared" si="45"/>
        <v>0</v>
      </c>
      <c r="DV20" s="16">
        <f t="shared" si="45"/>
        <v>0</v>
      </c>
      <c r="DW20" s="16">
        <f t="shared" si="45"/>
        <v>0</v>
      </c>
      <c r="DX20" s="16">
        <f t="shared" si="45"/>
        <v>0</v>
      </c>
      <c r="DY20" s="16">
        <f t="shared" si="45"/>
        <v>0</v>
      </c>
      <c r="DZ20" s="16">
        <f t="shared" si="45"/>
        <v>0</v>
      </c>
      <c r="EA20" s="16">
        <f t="shared" si="45"/>
        <v>0</v>
      </c>
      <c r="EB20" s="16"/>
      <c r="EC20" s="16">
        <f t="shared" si="45"/>
        <v>0</v>
      </c>
      <c r="ED20" s="16">
        <f t="shared" si="45"/>
        <v>0</v>
      </c>
      <c r="EE20" s="16">
        <f t="shared" si="45"/>
        <v>0</v>
      </c>
      <c r="EF20" s="16">
        <f t="shared" si="45"/>
        <v>0</v>
      </c>
      <c r="EG20" s="16">
        <f t="shared" si="45"/>
        <v>0</v>
      </c>
      <c r="EH20" s="16">
        <f t="shared" si="45"/>
        <v>0</v>
      </c>
      <c r="EI20" s="149">
        <f t="shared" si="2"/>
        <v>0</v>
      </c>
      <c r="EJ20" s="132">
        <f t="shared" si="3"/>
        <v>0</v>
      </c>
    </row>
    <row r="21" spans="1:210" ht="15.6">
      <c r="A21" s="15" t="s">
        <v>160</v>
      </c>
      <c r="B21" s="152">
        <v>13</v>
      </c>
      <c r="C21" s="14" t="s">
        <v>148</v>
      </c>
      <c r="D21" s="796" t="s">
        <v>147</v>
      </c>
      <c r="E21" s="796"/>
      <c r="F21" s="153">
        <f>1/3</f>
        <v>0.33333333333333331</v>
      </c>
      <c r="G21" s="141">
        <f t="shared" si="42"/>
        <v>0</v>
      </c>
      <c r="H21" s="141">
        <f t="shared" si="42"/>
        <v>0</v>
      </c>
      <c r="I21" s="141">
        <f t="shared" si="42"/>
        <v>0</v>
      </c>
      <c r="J21" s="141">
        <f t="shared" si="42"/>
        <v>0</v>
      </c>
      <c r="K21" s="141">
        <f t="shared" si="42"/>
        <v>0</v>
      </c>
      <c r="L21" s="141">
        <f t="shared" si="42"/>
        <v>0</v>
      </c>
      <c r="M21" s="141">
        <f t="shared" si="42"/>
        <v>0</v>
      </c>
      <c r="N21" s="141">
        <f t="shared" si="42"/>
        <v>0</v>
      </c>
      <c r="O21" s="141">
        <f t="shared" si="43"/>
        <v>0</v>
      </c>
      <c r="P21" s="141">
        <f t="shared" si="43"/>
        <v>0</v>
      </c>
      <c r="Q21" s="141">
        <f t="shared" si="43"/>
        <v>0</v>
      </c>
      <c r="R21" s="141">
        <f t="shared" si="43"/>
        <v>0</v>
      </c>
      <c r="S21" s="141">
        <f t="shared" si="43"/>
        <v>0</v>
      </c>
      <c r="T21" s="141">
        <f t="shared" si="43"/>
        <v>0</v>
      </c>
      <c r="U21" s="141">
        <f t="shared" si="43"/>
        <v>0</v>
      </c>
      <c r="V21" s="141">
        <f t="shared" si="44"/>
        <v>0</v>
      </c>
      <c r="W21" s="141">
        <f t="shared" si="44"/>
        <v>0</v>
      </c>
      <c r="X21" s="141">
        <f t="shared" si="44"/>
        <v>0</v>
      </c>
      <c r="Y21" s="141">
        <f t="shared" si="44"/>
        <v>0</v>
      </c>
      <c r="Z21" s="141">
        <f t="shared" si="44"/>
        <v>0</v>
      </c>
      <c r="AA21" s="141">
        <f t="shared" si="44"/>
        <v>0</v>
      </c>
      <c r="AB21" s="141">
        <f t="shared" si="44"/>
        <v>0</v>
      </c>
      <c r="AC21" s="141">
        <f t="shared" si="44"/>
        <v>0</v>
      </c>
      <c r="AD21" s="141">
        <f t="shared" si="44"/>
        <v>0</v>
      </c>
      <c r="AE21" s="141">
        <f t="shared" si="44"/>
        <v>0</v>
      </c>
      <c r="AF21" s="141">
        <f t="shared" si="44"/>
        <v>0</v>
      </c>
      <c r="AG21" s="141">
        <f t="shared" si="44"/>
        <v>0</v>
      </c>
      <c r="AH21" s="141">
        <f t="shared" si="44"/>
        <v>0</v>
      </c>
      <c r="AI21" s="141">
        <f t="shared" si="44"/>
        <v>0</v>
      </c>
      <c r="AJ21" s="141">
        <f t="shared" si="44"/>
        <v>0</v>
      </c>
      <c r="AK21" s="141">
        <f t="shared" si="44"/>
        <v>0</v>
      </c>
      <c r="AL21" s="141">
        <f t="shared" si="44"/>
        <v>0</v>
      </c>
      <c r="AM21" s="141">
        <f t="shared" si="44"/>
        <v>0</v>
      </c>
      <c r="AN21" s="141">
        <f t="shared" si="44"/>
        <v>0</v>
      </c>
      <c r="AO21" s="141">
        <f t="shared" si="44"/>
        <v>0</v>
      </c>
      <c r="AP21" s="141">
        <f t="shared" si="44"/>
        <v>0</v>
      </c>
      <c r="AQ21" s="141">
        <f t="shared" si="44"/>
        <v>0</v>
      </c>
      <c r="AR21" s="141">
        <f t="shared" si="44"/>
        <v>0</v>
      </c>
      <c r="AS21" s="141">
        <f t="shared" si="44"/>
        <v>0</v>
      </c>
      <c r="AT21" s="141">
        <f t="shared" si="44"/>
        <v>0</v>
      </c>
      <c r="AU21" s="141">
        <f t="shared" si="44"/>
        <v>0</v>
      </c>
      <c r="AV21" s="141">
        <f t="shared" si="44"/>
        <v>0</v>
      </c>
      <c r="AW21" s="141">
        <f t="shared" si="44"/>
        <v>0</v>
      </c>
      <c r="AX21" s="141">
        <f t="shared" si="44"/>
        <v>0</v>
      </c>
      <c r="AY21" s="141">
        <f t="shared" si="44"/>
        <v>0</v>
      </c>
      <c r="AZ21" s="141">
        <f t="shared" si="44"/>
        <v>0</v>
      </c>
      <c r="BA21" s="141">
        <f t="shared" si="45"/>
        <v>0</v>
      </c>
      <c r="BB21" s="141">
        <f t="shared" si="45"/>
        <v>0</v>
      </c>
      <c r="BC21" s="141">
        <f t="shared" si="45"/>
        <v>0</v>
      </c>
      <c r="BD21" s="141">
        <f t="shared" si="45"/>
        <v>0</v>
      </c>
      <c r="BE21" s="141">
        <f t="shared" si="45"/>
        <v>0</v>
      </c>
      <c r="BF21" s="141">
        <f t="shared" si="45"/>
        <v>0</v>
      </c>
      <c r="BG21" s="141">
        <f t="shared" si="45"/>
        <v>0</v>
      </c>
      <c r="BH21" s="141">
        <f t="shared" si="45"/>
        <v>0</v>
      </c>
      <c r="BI21" s="141">
        <f t="shared" si="45"/>
        <v>0</v>
      </c>
      <c r="BJ21" s="141">
        <f t="shared" si="45"/>
        <v>0</v>
      </c>
      <c r="BK21" s="141">
        <f t="shared" si="45"/>
        <v>0</v>
      </c>
      <c r="BL21" s="141">
        <f t="shared" si="45"/>
        <v>0</v>
      </c>
      <c r="BM21" s="141">
        <f t="shared" si="45"/>
        <v>0</v>
      </c>
      <c r="BN21" s="141">
        <f t="shared" si="45"/>
        <v>0</v>
      </c>
      <c r="BO21" s="141">
        <f t="shared" si="45"/>
        <v>0</v>
      </c>
      <c r="BP21" s="141">
        <f t="shared" si="45"/>
        <v>0</v>
      </c>
      <c r="BQ21" s="141">
        <f t="shared" si="45"/>
        <v>0</v>
      </c>
      <c r="BR21" s="141">
        <f t="shared" si="45"/>
        <v>0</v>
      </c>
      <c r="BS21" s="141">
        <f t="shared" si="45"/>
        <v>0</v>
      </c>
      <c r="BT21" s="141">
        <f t="shared" si="45"/>
        <v>0</v>
      </c>
      <c r="BU21" s="141">
        <f t="shared" si="45"/>
        <v>0</v>
      </c>
      <c r="BV21" s="141">
        <f t="shared" si="45"/>
        <v>0</v>
      </c>
      <c r="BW21" s="141">
        <f t="shared" si="45"/>
        <v>0</v>
      </c>
      <c r="BX21" s="141">
        <f t="shared" si="45"/>
        <v>0</v>
      </c>
      <c r="BY21" s="141">
        <f t="shared" si="45"/>
        <v>0</v>
      </c>
      <c r="BZ21" s="141">
        <f t="shared" si="45"/>
        <v>0</v>
      </c>
      <c r="CA21" s="141">
        <f t="shared" si="45"/>
        <v>0</v>
      </c>
      <c r="CB21" s="141">
        <f t="shared" si="45"/>
        <v>0</v>
      </c>
      <c r="CC21" s="141">
        <f t="shared" si="45"/>
        <v>0</v>
      </c>
      <c r="CD21" s="141">
        <f t="shared" si="45"/>
        <v>0</v>
      </c>
      <c r="CE21" s="141">
        <f t="shared" si="45"/>
        <v>0</v>
      </c>
      <c r="CF21" s="141">
        <f t="shared" si="45"/>
        <v>0</v>
      </c>
      <c r="CG21" s="16">
        <f t="shared" si="45"/>
        <v>0</v>
      </c>
      <c r="CH21" s="16">
        <f t="shared" si="45"/>
        <v>0</v>
      </c>
      <c r="CI21" s="16">
        <f t="shared" si="45"/>
        <v>0</v>
      </c>
      <c r="CJ21" s="16">
        <f t="shared" si="45"/>
        <v>0</v>
      </c>
      <c r="CK21" s="16">
        <f t="shared" si="45"/>
        <v>0</v>
      </c>
      <c r="CL21" s="16">
        <f t="shared" si="45"/>
        <v>0</v>
      </c>
      <c r="CM21" s="16">
        <f t="shared" si="45"/>
        <v>0</v>
      </c>
      <c r="CN21" s="16">
        <f t="shared" si="45"/>
        <v>0</v>
      </c>
      <c r="CO21" s="16">
        <f t="shared" si="45"/>
        <v>0</v>
      </c>
      <c r="CP21" s="16">
        <f t="shared" si="45"/>
        <v>0</v>
      </c>
      <c r="CQ21" s="16">
        <f t="shared" si="45"/>
        <v>0</v>
      </c>
      <c r="CR21" s="16">
        <f t="shared" si="45"/>
        <v>0</v>
      </c>
      <c r="CS21" s="16">
        <f t="shared" si="46"/>
        <v>0</v>
      </c>
      <c r="CT21" s="16">
        <f t="shared" si="46"/>
        <v>0</v>
      </c>
      <c r="CU21" s="16">
        <f t="shared" si="46"/>
        <v>0</v>
      </c>
      <c r="CV21" s="16">
        <f t="shared" si="46"/>
        <v>0</v>
      </c>
      <c r="CW21" s="16">
        <f t="shared" si="46"/>
        <v>0</v>
      </c>
      <c r="CX21" s="16">
        <f t="shared" si="46"/>
        <v>0</v>
      </c>
      <c r="CY21" s="16">
        <f t="shared" si="46"/>
        <v>0</v>
      </c>
      <c r="CZ21" s="16">
        <f t="shared" si="46"/>
        <v>0</v>
      </c>
      <c r="DA21" s="16">
        <f t="shared" si="46"/>
        <v>0</v>
      </c>
      <c r="DB21" s="16">
        <f t="shared" si="46"/>
        <v>0</v>
      </c>
      <c r="DC21" s="16">
        <f t="shared" si="46"/>
        <v>0</v>
      </c>
      <c r="DD21" s="16">
        <f t="shared" si="46"/>
        <v>0</v>
      </c>
      <c r="DE21" s="16">
        <f t="shared" si="46"/>
        <v>0</v>
      </c>
      <c r="DF21" s="16">
        <f t="shared" si="46"/>
        <v>0</v>
      </c>
      <c r="DG21" s="16">
        <f t="shared" si="46"/>
        <v>0</v>
      </c>
      <c r="DH21" s="16">
        <f t="shared" si="45"/>
        <v>0</v>
      </c>
      <c r="DI21" s="16">
        <f t="shared" si="45"/>
        <v>0</v>
      </c>
      <c r="DJ21" s="16">
        <f t="shared" si="45"/>
        <v>0</v>
      </c>
      <c r="DK21" s="16">
        <f t="shared" si="45"/>
        <v>0</v>
      </c>
      <c r="DL21" s="16">
        <f t="shared" si="45"/>
        <v>0</v>
      </c>
      <c r="DM21" s="16">
        <f t="shared" si="45"/>
        <v>0</v>
      </c>
      <c r="DN21" s="16">
        <f t="shared" si="45"/>
        <v>0</v>
      </c>
      <c r="DO21" s="16">
        <f t="shared" si="45"/>
        <v>0</v>
      </c>
      <c r="DP21" s="16">
        <f t="shared" si="45"/>
        <v>0</v>
      </c>
      <c r="DQ21" s="16">
        <f t="shared" si="45"/>
        <v>0</v>
      </c>
      <c r="DR21" s="16">
        <f t="shared" si="45"/>
        <v>0</v>
      </c>
      <c r="DS21" s="16">
        <f t="shared" si="45"/>
        <v>0</v>
      </c>
      <c r="DT21" s="16">
        <f t="shared" si="45"/>
        <v>0</v>
      </c>
      <c r="DU21" s="16">
        <f t="shared" si="45"/>
        <v>0</v>
      </c>
      <c r="DV21" s="16">
        <f t="shared" si="45"/>
        <v>0</v>
      </c>
      <c r="DW21" s="16">
        <f t="shared" si="45"/>
        <v>0</v>
      </c>
      <c r="DX21" s="16">
        <f t="shared" si="45"/>
        <v>0</v>
      </c>
      <c r="DY21" s="16">
        <f t="shared" si="45"/>
        <v>0</v>
      </c>
      <c r="DZ21" s="16">
        <f t="shared" si="45"/>
        <v>0</v>
      </c>
      <c r="EA21" s="16">
        <f t="shared" si="45"/>
        <v>0</v>
      </c>
      <c r="EB21" s="16"/>
      <c r="EC21" s="16">
        <f t="shared" si="45"/>
        <v>0</v>
      </c>
      <c r="ED21" s="16">
        <f t="shared" si="45"/>
        <v>0</v>
      </c>
      <c r="EE21" s="16">
        <f t="shared" si="45"/>
        <v>0</v>
      </c>
      <c r="EF21" s="16">
        <f t="shared" si="45"/>
        <v>0</v>
      </c>
      <c r="EG21" s="16">
        <f t="shared" si="45"/>
        <v>0</v>
      </c>
      <c r="EH21" s="16">
        <f t="shared" si="45"/>
        <v>0</v>
      </c>
      <c r="EI21" s="149">
        <f t="shared" si="2"/>
        <v>0</v>
      </c>
      <c r="EJ21" s="132">
        <f t="shared" si="3"/>
        <v>0</v>
      </c>
    </row>
    <row r="22" spans="1:210" ht="15.6">
      <c r="A22" s="15" t="s">
        <v>160</v>
      </c>
      <c r="B22" s="152">
        <v>14</v>
      </c>
      <c r="C22" s="14" t="s">
        <v>438</v>
      </c>
      <c r="D22" s="796" t="s">
        <v>439</v>
      </c>
      <c r="E22" s="796"/>
      <c r="F22" s="153">
        <v>2</v>
      </c>
      <c r="G22" s="141">
        <f t="shared" si="42"/>
        <v>0</v>
      </c>
      <c r="H22" s="141">
        <f t="shared" si="42"/>
        <v>0</v>
      </c>
      <c r="I22" s="141">
        <f t="shared" si="42"/>
        <v>0</v>
      </c>
      <c r="J22" s="141">
        <f t="shared" si="42"/>
        <v>0</v>
      </c>
      <c r="K22" s="141">
        <f t="shared" si="42"/>
        <v>0</v>
      </c>
      <c r="L22" s="141">
        <f t="shared" si="42"/>
        <v>0</v>
      </c>
      <c r="M22" s="141">
        <f t="shared" si="42"/>
        <v>0</v>
      </c>
      <c r="N22" s="141">
        <f t="shared" si="42"/>
        <v>0</v>
      </c>
      <c r="O22" s="141">
        <f t="shared" si="43"/>
        <v>0</v>
      </c>
      <c r="P22" s="141">
        <f t="shared" si="43"/>
        <v>0</v>
      </c>
      <c r="Q22" s="141">
        <f t="shared" si="43"/>
        <v>0</v>
      </c>
      <c r="R22" s="141">
        <f t="shared" si="43"/>
        <v>0</v>
      </c>
      <c r="S22" s="141">
        <f t="shared" si="43"/>
        <v>0</v>
      </c>
      <c r="T22" s="141">
        <f t="shared" si="43"/>
        <v>0</v>
      </c>
      <c r="U22" s="141">
        <f t="shared" si="43"/>
        <v>0</v>
      </c>
      <c r="V22" s="141">
        <f t="shared" si="44"/>
        <v>0</v>
      </c>
      <c r="W22" s="141">
        <f t="shared" si="44"/>
        <v>0</v>
      </c>
      <c r="X22" s="141">
        <f t="shared" si="44"/>
        <v>0</v>
      </c>
      <c r="Y22" s="141">
        <f t="shared" si="44"/>
        <v>0</v>
      </c>
      <c r="Z22" s="141">
        <f t="shared" si="44"/>
        <v>0</v>
      </c>
      <c r="AA22" s="141">
        <f t="shared" si="44"/>
        <v>0</v>
      </c>
      <c r="AB22" s="141">
        <f t="shared" si="44"/>
        <v>0</v>
      </c>
      <c r="AC22" s="141">
        <f t="shared" si="44"/>
        <v>0</v>
      </c>
      <c r="AD22" s="141">
        <f t="shared" si="44"/>
        <v>0</v>
      </c>
      <c r="AE22" s="141">
        <f t="shared" si="44"/>
        <v>0</v>
      </c>
      <c r="AF22" s="141">
        <f t="shared" si="44"/>
        <v>0</v>
      </c>
      <c r="AG22" s="141">
        <f t="shared" si="44"/>
        <v>0</v>
      </c>
      <c r="AH22" s="141">
        <f t="shared" si="44"/>
        <v>0</v>
      </c>
      <c r="AI22" s="141">
        <f t="shared" si="44"/>
        <v>0</v>
      </c>
      <c r="AJ22" s="141">
        <f t="shared" si="44"/>
        <v>0</v>
      </c>
      <c r="AK22" s="141">
        <f t="shared" si="44"/>
        <v>0</v>
      </c>
      <c r="AL22" s="141">
        <f t="shared" si="44"/>
        <v>0</v>
      </c>
      <c r="AM22" s="141">
        <f t="shared" si="44"/>
        <v>0</v>
      </c>
      <c r="AN22" s="141">
        <f t="shared" si="44"/>
        <v>0</v>
      </c>
      <c r="AO22" s="141">
        <f t="shared" si="44"/>
        <v>0</v>
      </c>
      <c r="AP22" s="141">
        <f t="shared" si="44"/>
        <v>0</v>
      </c>
      <c r="AQ22" s="141">
        <f t="shared" si="44"/>
        <v>0</v>
      </c>
      <c r="AR22" s="141">
        <f t="shared" si="44"/>
        <v>0</v>
      </c>
      <c r="AS22" s="141">
        <f t="shared" si="44"/>
        <v>0</v>
      </c>
      <c r="AT22" s="141">
        <f t="shared" si="44"/>
        <v>0</v>
      </c>
      <c r="AU22" s="141">
        <f t="shared" si="44"/>
        <v>0</v>
      </c>
      <c r="AV22" s="141">
        <f t="shared" si="44"/>
        <v>0</v>
      </c>
      <c r="AW22" s="141">
        <f t="shared" si="44"/>
        <v>0</v>
      </c>
      <c r="AX22" s="141">
        <f t="shared" si="44"/>
        <v>0</v>
      </c>
      <c r="AY22" s="141">
        <f t="shared" si="44"/>
        <v>0</v>
      </c>
      <c r="AZ22" s="141">
        <f t="shared" si="44"/>
        <v>0</v>
      </c>
      <c r="BA22" s="141">
        <f t="shared" si="45"/>
        <v>0</v>
      </c>
      <c r="BB22" s="141">
        <f t="shared" si="45"/>
        <v>0</v>
      </c>
      <c r="BC22" s="141">
        <f t="shared" si="45"/>
        <v>0</v>
      </c>
      <c r="BD22" s="141">
        <f t="shared" si="45"/>
        <v>0</v>
      </c>
      <c r="BE22" s="141">
        <f t="shared" si="45"/>
        <v>0</v>
      </c>
      <c r="BF22" s="141">
        <f t="shared" si="45"/>
        <v>0</v>
      </c>
      <c r="BG22" s="141">
        <f t="shared" ref="BG22:BS27" si="47">ROUNDUP($F22*BG$4,0)</f>
        <v>0</v>
      </c>
      <c r="BH22" s="141">
        <f t="shared" si="47"/>
        <v>0</v>
      </c>
      <c r="BI22" s="141">
        <f t="shared" si="47"/>
        <v>0</v>
      </c>
      <c r="BJ22" s="141">
        <f t="shared" si="47"/>
        <v>0</v>
      </c>
      <c r="BK22" s="141">
        <f t="shared" si="47"/>
        <v>0</v>
      </c>
      <c r="BL22" s="141">
        <f t="shared" si="47"/>
        <v>0</v>
      </c>
      <c r="BM22" s="141">
        <f t="shared" si="47"/>
        <v>0</v>
      </c>
      <c r="BN22" s="141">
        <f t="shared" si="47"/>
        <v>0</v>
      </c>
      <c r="BO22" s="141">
        <f t="shared" si="47"/>
        <v>0</v>
      </c>
      <c r="BP22" s="141">
        <f t="shared" si="47"/>
        <v>0</v>
      </c>
      <c r="BQ22" s="141">
        <f t="shared" si="47"/>
        <v>0</v>
      </c>
      <c r="BR22" s="141">
        <f t="shared" si="47"/>
        <v>0</v>
      </c>
      <c r="BS22" s="141">
        <f t="shared" si="47"/>
        <v>0</v>
      </c>
      <c r="BT22" s="141">
        <f t="shared" si="45"/>
        <v>0</v>
      </c>
      <c r="BU22" s="141">
        <f t="shared" si="45"/>
        <v>0</v>
      </c>
      <c r="BV22" s="141">
        <f t="shared" si="45"/>
        <v>0</v>
      </c>
      <c r="BW22" s="141">
        <f t="shared" si="45"/>
        <v>0</v>
      </c>
      <c r="BX22" s="141">
        <f t="shared" si="45"/>
        <v>0</v>
      </c>
      <c r="BY22" s="141">
        <f t="shared" si="45"/>
        <v>0</v>
      </c>
      <c r="BZ22" s="141">
        <f t="shared" si="45"/>
        <v>0</v>
      </c>
      <c r="CA22" s="141">
        <f t="shared" si="45"/>
        <v>0</v>
      </c>
      <c r="CB22" s="141">
        <f t="shared" si="45"/>
        <v>0</v>
      </c>
      <c r="CC22" s="141">
        <f t="shared" si="45"/>
        <v>0</v>
      </c>
      <c r="CD22" s="141">
        <f t="shared" si="45"/>
        <v>0</v>
      </c>
      <c r="CE22" s="141">
        <f t="shared" si="45"/>
        <v>0</v>
      </c>
      <c r="CF22" s="141">
        <f t="shared" si="45"/>
        <v>0</v>
      </c>
      <c r="CG22" s="16">
        <f t="shared" si="45"/>
        <v>0</v>
      </c>
      <c r="CH22" s="16">
        <f t="shared" si="45"/>
        <v>0</v>
      </c>
      <c r="CI22" s="16">
        <f t="shared" si="45"/>
        <v>0</v>
      </c>
      <c r="CJ22" s="16">
        <f t="shared" si="45"/>
        <v>0</v>
      </c>
      <c r="CK22" s="16">
        <f t="shared" si="45"/>
        <v>0</v>
      </c>
      <c r="CL22" s="16">
        <f t="shared" si="45"/>
        <v>0</v>
      </c>
      <c r="CM22" s="16">
        <f t="shared" si="45"/>
        <v>0</v>
      </c>
      <c r="CN22" s="16">
        <f t="shared" si="45"/>
        <v>0</v>
      </c>
      <c r="CO22" s="16">
        <f t="shared" si="45"/>
        <v>0</v>
      </c>
      <c r="CP22" s="16">
        <f t="shared" si="45"/>
        <v>0</v>
      </c>
      <c r="CQ22" s="16">
        <f t="shared" si="45"/>
        <v>0</v>
      </c>
      <c r="CR22" s="16">
        <f t="shared" si="45"/>
        <v>0</v>
      </c>
      <c r="CS22" s="16">
        <f t="shared" si="46"/>
        <v>0</v>
      </c>
      <c r="CT22" s="16">
        <f t="shared" si="46"/>
        <v>0</v>
      </c>
      <c r="CU22" s="16">
        <f t="shared" si="46"/>
        <v>0</v>
      </c>
      <c r="CV22" s="16">
        <f t="shared" si="46"/>
        <v>0</v>
      </c>
      <c r="CW22" s="16">
        <f t="shared" si="46"/>
        <v>0</v>
      </c>
      <c r="CX22" s="16">
        <f t="shared" si="46"/>
        <v>0</v>
      </c>
      <c r="CY22" s="16">
        <f t="shared" si="46"/>
        <v>0</v>
      </c>
      <c r="CZ22" s="16">
        <f t="shared" si="46"/>
        <v>0</v>
      </c>
      <c r="DA22" s="16">
        <f t="shared" si="46"/>
        <v>0</v>
      </c>
      <c r="DB22" s="16">
        <f t="shared" si="46"/>
        <v>0</v>
      </c>
      <c r="DC22" s="16">
        <f t="shared" si="46"/>
        <v>0</v>
      </c>
      <c r="DD22" s="16">
        <f t="shared" si="46"/>
        <v>0</v>
      </c>
      <c r="DE22" s="16">
        <f t="shared" si="46"/>
        <v>0</v>
      </c>
      <c r="DF22" s="16">
        <f t="shared" si="46"/>
        <v>0</v>
      </c>
      <c r="DG22" s="16">
        <f t="shared" si="46"/>
        <v>0</v>
      </c>
      <c r="DH22" s="16">
        <f t="shared" si="45"/>
        <v>0</v>
      </c>
      <c r="DI22" s="16">
        <f t="shared" si="45"/>
        <v>0</v>
      </c>
      <c r="DJ22" s="16">
        <f t="shared" si="45"/>
        <v>0</v>
      </c>
      <c r="DK22" s="16">
        <f t="shared" si="45"/>
        <v>0</v>
      </c>
      <c r="DL22" s="16">
        <f t="shared" si="45"/>
        <v>0</v>
      </c>
      <c r="DM22" s="16">
        <f t="shared" si="45"/>
        <v>0</v>
      </c>
      <c r="DN22" s="16">
        <f t="shared" si="45"/>
        <v>0</v>
      </c>
      <c r="DO22" s="16">
        <f t="shared" si="45"/>
        <v>0</v>
      </c>
      <c r="DP22" s="16">
        <f t="shared" si="45"/>
        <v>0</v>
      </c>
      <c r="DQ22" s="16">
        <f t="shared" si="45"/>
        <v>0</v>
      </c>
      <c r="DR22" s="16">
        <f t="shared" si="45"/>
        <v>0</v>
      </c>
      <c r="DS22" s="16">
        <f t="shared" si="45"/>
        <v>0</v>
      </c>
      <c r="DT22" s="16">
        <f t="shared" si="45"/>
        <v>0</v>
      </c>
      <c r="DU22" s="16">
        <f t="shared" si="45"/>
        <v>0</v>
      </c>
      <c r="DV22" s="16">
        <f t="shared" si="45"/>
        <v>0</v>
      </c>
      <c r="DW22" s="16">
        <f t="shared" si="45"/>
        <v>0</v>
      </c>
      <c r="DX22" s="16">
        <f t="shared" si="45"/>
        <v>0</v>
      </c>
      <c r="DY22" s="16">
        <f t="shared" si="45"/>
        <v>0</v>
      </c>
      <c r="DZ22" s="16">
        <f t="shared" si="45"/>
        <v>0</v>
      </c>
      <c r="EA22" s="16">
        <f t="shared" si="45"/>
        <v>0</v>
      </c>
      <c r="EB22" s="16"/>
      <c r="EC22" s="16">
        <f t="shared" si="45"/>
        <v>0</v>
      </c>
      <c r="ED22" s="16">
        <f t="shared" si="45"/>
        <v>0</v>
      </c>
      <c r="EE22" s="16">
        <f t="shared" si="45"/>
        <v>0</v>
      </c>
      <c r="EF22" s="16">
        <f t="shared" si="45"/>
        <v>0</v>
      </c>
      <c r="EG22" s="16">
        <f t="shared" si="45"/>
        <v>0</v>
      </c>
      <c r="EH22" s="16">
        <f t="shared" si="45"/>
        <v>0</v>
      </c>
      <c r="EI22" s="149">
        <f t="shared" si="2"/>
        <v>0</v>
      </c>
      <c r="EJ22" s="132">
        <f t="shared" si="3"/>
        <v>0</v>
      </c>
    </row>
    <row r="23" spans="1:210" ht="15.6">
      <c r="A23" s="15" t="s">
        <v>160</v>
      </c>
      <c r="B23" s="152">
        <v>15</v>
      </c>
      <c r="C23" s="14" t="s">
        <v>145</v>
      </c>
      <c r="D23" s="796" t="s">
        <v>167</v>
      </c>
      <c r="E23" s="796"/>
      <c r="F23" s="153">
        <v>0.2</v>
      </c>
      <c r="G23" s="141">
        <f t="shared" si="42"/>
        <v>0</v>
      </c>
      <c r="H23" s="141">
        <f t="shared" si="42"/>
        <v>0</v>
      </c>
      <c r="I23" s="141">
        <f t="shared" si="42"/>
        <v>0</v>
      </c>
      <c r="J23" s="141">
        <f t="shared" si="42"/>
        <v>0</v>
      </c>
      <c r="K23" s="141">
        <f t="shared" si="42"/>
        <v>0</v>
      </c>
      <c r="L23" s="141">
        <f t="shared" si="42"/>
        <v>0</v>
      </c>
      <c r="M23" s="141">
        <f t="shared" si="42"/>
        <v>0</v>
      </c>
      <c r="N23" s="141">
        <f t="shared" si="42"/>
        <v>0</v>
      </c>
      <c r="O23" s="141">
        <f t="shared" si="43"/>
        <v>0</v>
      </c>
      <c r="P23" s="141">
        <f t="shared" si="43"/>
        <v>0</v>
      </c>
      <c r="Q23" s="141">
        <f t="shared" si="43"/>
        <v>0</v>
      </c>
      <c r="R23" s="141">
        <f t="shared" si="43"/>
        <v>0</v>
      </c>
      <c r="S23" s="141">
        <f t="shared" si="43"/>
        <v>0</v>
      </c>
      <c r="T23" s="141">
        <f t="shared" si="43"/>
        <v>0</v>
      </c>
      <c r="U23" s="141">
        <f t="shared" si="43"/>
        <v>0</v>
      </c>
      <c r="V23" s="141">
        <f t="shared" si="44"/>
        <v>0</v>
      </c>
      <c r="W23" s="141">
        <f t="shared" si="44"/>
        <v>0</v>
      </c>
      <c r="X23" s="141">
        <f t="shared" si="44"/>
        <v>0</v>
      </c>
      <c r="Y23" s="141">
        <f t="shared" si="44"/>
        <v>0</v>
      </c>
      <c r="Z23" s="141">
        <f t="shared" si="44"/>
        <v>0</v>
      </c>
      <c r="AA23" s="141">
        <f t="shared" si="44"/>
        <v>0</v>
      </c>
      <c r="AB23" s="141">
        <f t="shared" si="44"/>
        <v>0</v>
      </c>
      <c r="AC23" s="141">
        <f t="shared" si="44"/>
        <v>0</v>
      </c>
      <c r="AD23" s="141">
        <f t="shared" si="44"/>
        <v>0</v>
      </c>
      <c r="AE23" s="141">
        <f t="shared" si="44"/>
        <v>0</v>
      </c>
      <c r="AF23" s="141">
        <f t="shared" si="44"/>
        <v>0</v>
      </c>
      <c r="AG23" s="141">
        <f t="shared" si="44"/>
        <v>0</v>
      </c>
      <c r="AH23" s="141">
        <f t="shared" si="44"/>
        <v>0</v>
      </c>
      <c r="AI23" s="141">
        <f t="shared" si="44"/>
        <v>0</v>
      </c>
      <c r="AJ23" s="141">
        <f t="shared" si="44"/>
        <v>0</v>
      </c>
      <c r="AK23" s="141">
        <f t="shared" si="44"/>
        <v>0</v>
      </c>
      <c r="AL23" s="141">
        <f t="shared" si="44"/>
        <v>0</v>
      </c>
      <c r="AM23" s="141">
        <f t="shared" si="44"/>
        <v>0</v>
      </c>
      <c r="AN23" s="141">
        <f t="shared" si="44"/>
        <v>0</v>
      </c>
      <c r="AO23" s="141">
        <f t="shared" si="44"/>
        <v>0</v>
      </c>
      <c r="AP23" s="141">
        <f t="shared" si="44"/>
        <v>0</v>
      </c>
      <c r="AQ23" s="141">
        <f t="shared" si="44"/>
        <v>0</v>
      </c>
      <c r="AR23" s="141">
        <f t="shared" si="44"/>
        <v>0</v>
      </c>
      <c r="AS23" s="141">
        <f t="shared" si="44"/>
        <v>0</v>
      </c>
      <c r="AT23" s="141">
        <f t="shared" si="44"/>
        <v>0</v>
      </c>
      <c r="AU23" s="141">
        <f t="shared" si="44"/>
        <v>0</v>
      </c>
      <c r="AV23" s="141">
        <f t="shared" si="44"/>
        <v>0</v>
      </c>
      <c r="AW23" s="141">
        <f t="shared" si="44"/>
        <v>0</v>
      </c>
      <c r="AX23" s="141">
        <f t="shared" si="44"/>
        <v>0</v>
      </c>
      <c r="AY23" s="141">
        <f t="shared" si="44"/>
        <v>0</v>
      </c>
      <c r="AZ23" s="141">
        <f t="shared" si="44"/>
        <v>0</v>
      </c>
      <c r="BA23" s="141">
        <f t="shared" si="45"/>
        <v>0</v>
      </c>
      <c r="BB23" s="141">
        <f t="shared" si="45"/>
        <v>0</v>
      </c>
      <c r="BC23" s="141">
        <f t="shared" si="45"/>
        <v>0</v>
      </c>
      <c r="BD23" s="141">
        <f t="shared" si="45"/>
        <v>0</v>
      </c>
      <c r="BE23" s="141">
        <f t="shared" si="45"/>
        <v>0</v>
      </c>
      <c r="BF23" s="141">
        <f t="shared" si="45"/>
        <v>0</v>
      </c>
      <c r="BG23" s="141">
        <f t="shared" si="47"/>
        <v>0</v>
      </c>
      <c r="BH23" s="141">
        <f t="shared" si="47"/>
        <v>0</v>
      </c>
      <c r="BI23" s="141">
        <f t="shared" si="47"/>
        <v>0</v>
      </c>
      <c r="BJ23" s="141">
        <f t="shared" si="47"/>
        <v>0</v>
      </c>
      <c r="BK23" s="141">
        <f t="shared" si="47"/>
        <v>0</v>
      </c>
      <c r="BL23" s="141">
        <f t="shared" si="47"/>
        <v>0</v>
      </c>
      <c r="BM23" s="141">
        <f t="shared" si="47"/>
        <v>0</v>
      </c>
      <c r="BN23" s="141">
        <f t="shared" si="47"/>
        <v>0</v>
      </c>
      <c r="BO23" s="141">
        <f t="shared" si="47"/>
        <v>0</v>
      </c>
      <c r="BP23" s="141">
        <f t="shared" si="47"/>
        <v>0</v>
      </c>
      <c r="BQ23" s="141">
        <f t="shared" si="47"/>
        <v>0</v>
      </c>
      <c r="BR23" s="141">
        <f t="shared" si="47"/>
        <v>0</v>
      </c>
      <c r="BS23" s="141">
        <f t="shared" si="47"/>
        <v>0</v>
      </c>
      <c r="BT23" s="141">
        <f t="shared" si="45"/>
        <v>0</v>
      </c>
      <c r="BU23" s="141">
        <f t="shared" si="45"/>
        <v>0</v>
      </c>
      <c r="BV23" s="141">
        <f t="shared" si="45"/>
        <v>0</v>
      </c>
      <c r="BW23" s="141">
        <f t="shared" si="45"/>
        <v>0</v>
      </c>
      <c r="BX23" s="141">
        <f t="shared" si="45"/>
        <v>0</v>
      </c>
      <c r="BY23" s="141">
        <f t="shared" si="45"/>
        <v>0</v>
      </c>
      <c r="BZ23" s="141">
        <f t="shared" si="45"/>
        <v>0</v>
      </c>
      <c r="CA23" s="141">
        <f t="shared" si="45"/>
        <v>0</v>
      </c>
      <c r="CB23" s="141">
        <f t="shared" si="45"/>
        <v>0</v>
      </c>
      <c r="CC23" s="141">
        <f t="shared" si="45"/>
        <v>0</v>
      </c>
      <c r="CD23" s="141">
        <f t="shared" si="45"/>
        <v>0</v>
      </c>
      <c r="CE23" s="141">
        <f t="shared" si="45"/>
        <v>0</v>
      </c>
      <c r="CF23" s="141">
        <f t="shared" si="45"/>
        <v>0</v>
      </c>
      <c r="CG23" s="16">
        <f t="shared" si="45"/>
        <v>0</v>
      </c>
      <c r="CH23" s="16">
        <f t="shared" si="45"/>
        <v>0</v>
      </c>
      <c r="CI23" s="16">
        <f t="shared" si="45"/>
        <v>0</v>
      </c>
      <c r="CJ23" s="16">
        <f t="shared" si="45"/>
        <v>0</v>
      </c>
      <c r="CK23" s="16">
        <f t="shared" si="45"/>
        <v>0</v>
      </c>
      <c r="CL23" s="16">
        <f t="shared" si="45"/>
        <v>0</v>
      </c>
      <c r="CM23" s="16">
        <f t="shared" si="45"/>
        <v>0</v>
      </c>
      <c r="CN23" s="16">
        <f t="shared" si="45"/>
        <v>0</v>
      </c>
      <c r="CO23" s="16">
        <f t="shared" si="45"/>
        <v>0</v>
      </c>
      <c r="CP23" s="16">
        <f t="shared" si="45"/>
        <v>0</v>
      </c>
      <c r="CQ23" s="16">
        <f t="shared" si="45"/>
        <v>0</v>
      </c>
      <c r="CR23" s="16">
        <f t="shared" si="45"/>
        <v>0</v>
      </c>
      <c r="CS23" s="16">
        <f t="shared" si="46"/>
        <v>0</v>
      </c>
      <c r="CT23" s="16">
        <f t="shared" si="46"/>
        <v>0</v>
      </c>
      <c r="CU23" s="16">
        <f t="shared" si="46"/>
        <v>0</v>
      </c>
      <c r="CV23" s="16">
        <f t="shared" si="46"/>
        <v>0</v>
      </c>
      <c r="CW23" s="16">
        <f t="shared" si="46"/>
        <v>0</v>
      </c>
      <c r="CX23" s="16">
        <f t="shared" si="46"/>
        <v>0</v>
      </c>
      <c r="CY23" s="16">
        <f t="shared" si="46"/>
        <v>0</v>
      </c>
      <c r="CZ23" s="16">
        <f t="shared" si="46"/>
        <v>0</v>
      </c>
      <c r="DA23" s="16">
        <f t="shared" si="46"/>
        <v>0</v>
      </c>
      <c r="DB23" s="16">
        <f t="shared" si="46"/>
        <v>0</v>
      </c>
      <c r="DC23" s="16">
        <f t="shared" si="46"/>
        <v>0</v>
      </c>
      <c r="DD23" s="16">
        <f t="shared" si="46"/>
        <v>0</v>
      </c>
      <c r="DE23" s="16">
        <f t="shared" si="46"/>
        <v>0</v>
      </c>
      <c r="DF23" s="16">
        <f t="shared" si="46"/>
        <v>0</v>
      </c>
      <c r="DG23" s="16">
        <f t="shared" si="46"/>
        <v>0</v>
      </c>
      <c r="DH23" s="16">
        <f t="shared" si="45"/>
        <v>0</v>
      </c>
      <c r="DI23" s="16">
        <f t="shared" si="45"/>
        <v>0</v>
      </c>
      <c r="DJ23" s="16">
        <f t="shared" si="45"/>
        <v>0</v>
      </c>
      <c r="DK23" s="16">
        <f t="shared" si="45"/>
        <v>0</v>
      </c>
      <c r="DL23" s="16">
        <f t="shared" si="45"/>
        <v>0</v>
      </c>
      <c r="DM23" s="16">
        <f t="shared" si="45"/>
        <v>0</v>
      </c>
      <c r="DN23" s="16">
        <f t="shared" si="45"/>
        <v>0</v>
      </c>
      <c r="DO23" s="16">
        <f t="shared" si="45"/>
        <v>0</v>
      </c>
      <c r="DP23" s="16">
        <f t="shared" si="45"/>
        <v>0</v>
      </c>
      <c r="DQ23" s="16">
        <f t="shared" si="45"/>
        <v>0</v>
      </c>
      <c r="DR23" s="16">
        <f t="shared" si="45"/>
        <v>0</v>
      </c>
      <c r="DS23" s="16">
        <f t="shared" si="45"/>
        <v>0</v>
      </c>
      <c r="DT23" s="16">
        <f t="shared" si="45"/>
        <v>0</v>
      </c>
      <c r="DU23" s="16">
        <f t="shared" si="45"/>
        <v>0</v>
      </c>
      <c r="DV23" s="16">
        <f t="shared" si="45"/>
        <v>0</v>
      </c>
      <c r="DW23" s="16">
        <f t="shared" si="45"/>
        <v>0</v>
      </c>
      <c r="DX23" s="16">
        <f t="shared" si="45"/>
        <v>0</v>
      </c>
      <c r="DY23" s="16">
        <f t="shared" si="45"/>
        <v>0</v>
      </c>
      <c r="DZ23" s="16">
        <f t="shared" si="45"/>
        <v>0</v>
      </c>
      <c r="EA23" s="16">
        <f t="shared" si="45"/>
        <v>0</v>
      </c>
      <c r="EB23" s="16"/>
      <c r="EC23" s="16">
        <f t="shared" si="45"/>
        <v>0</v>
      </c>
      <c r="ED23" s="16">
        <f t="shared" si="45"/>
        <v>0</v>
      </c>
      <c r="EE23" s="16">
        <f t="shared" si="45"/>
        <v>0</v>
      </c>
      <c r="EF23" s="16">
        <f t="shared" si="45"/>
        <v>0</v>
      </c>
      <c r="EG23" s="16">
        <f t="shared" si="45"/>
        <v>0</v>
      </c>
      <c r="EH23" s="16">
        <f t="shared" si="45"/>
        <v>0</v>
      </c>
      <c r="EI23" s="149">
        <f t="shared" si="2"/>
        <v>0</v>
      </c>
      <c r="EJ23" s="132">
        <f t="shared" si="3"/>
        <v>0</v>
      </c>
    </row>
    <row r="24" spans="1:210" ht="15.6">
      <c r="A24" s="15" t="s">
        <v>160</v>
      </c>
      <c r="B24" s="15">
        <v>16</v>
      </c>
      <c r="C24" s="155" t="s">
        <v>144</v>
      </c>
      <c r="D24" s="800" t="s">
        <v>167</v>
      </c>
      <c r="E24" s="801"/>
      <c r="F24" s="17">
        <f>1/5</f>
        <v>0.2</v>
      </c>
      <c r="G24" s="141">
        <f t="shared" si="42"/>
        <v>0</v>
      </c>
      <c r="H24" s="141">
        <f t="shared" si="42"/>
        <v>0</v>
      </c>
      <c r="I24" s="141">
        <f t="shared" si="42"/>
        <v>0</v>
      </c>
      <c r="J24" s="141">
        <f t="shared" si="42"/>
        <v>0</v>
      </c>
      <c r="K24" s="141">
        <f t="shared" si="42"/>
        <v>0</v>
      </c>
      <c r="L24" s="141">
        <f t="shared" si="42"/>
        <v>0</v>
      </c>
      <c r="M24" s="141">
        <f t="shared" si="42"/>
        <v>0</v>
      </c>
      <c r="N24" s="141">
        <f t="shared" si="42"/>
        <v>0</v>
      </c>
      <c r="O24" s="141">
        <f t="shared" si="43"/>
        <v>0</v>
      </c>
      <c r="P24" s="141">
        <f t="shared" si="43"/>
        <v>0</v>
      </c>
      <c r="Q24" s="141">
        <f t="shared" si="43"/>
        <v>0</v>
      </c>
      <c r="R24" s="141">
        <f t="shared" si="43"/>
        <v>0</v>
      </c>
      <c r="S24" s="141">
        <f t="shared" si="43"/>
        <v>0</v>
      </c>
      <c r="T24" s="141">
        <f t="shared" si="43"/>
        <v>0</v>
      </c>
      <c r="U24" s="141">
        <f t="shared" si="43"/>
        <v>0</v>
      </c>
      <c r="V24" s="141">
        <f t="shared" si="44"/>
        <v>0</v>
      </c>
      <c r="W24" s="141">
        <f t="shared" si="44"/>
        <v>0</v>
      </c>
      <c r="X24" s="141">
        <f t="shared" si="44"/>
        <v>0</v>
      </c>
      <c r="Y24" s="141">
        <f t="shared" si="44"/>
        <v>0</v>
      </c>
      <c r="Z24" s="141">
        <f t="shared" si="44"/>
        <v>0</v>
      </c>
      <c r="AA24" s="141">
        <f t="shared" si="44"/>
        <v>0</v>
      </c>
      <c r="AB24" s="141">
        <f t="shared" si="44"/>
        <v>0</v>
      </c>
      <c r="AC24" s="141">
        <f t="shared" si="44"/>
        <v>0</v>
      </c>
      <c r="AD24" s="141">
        <f t="shared" si="44"/>
        <v>0</v>
      </c>
      <c r="AE24" s="141">
        <f t="shared" si="44"/>
        <v>0</v>
      </c>
      <c r="AF24" s="141">
        <f t="shared" si="44"/>
        <v>0</v>
      </c>
      <c r="AG24" s="141">
        <f t="shared" si="44"/>
        <v>0</v>
      </c>
      <c r="AH24" s="141">
        <f t="shared" si="44"/>
        <v>0</v>
      </c>
      <c r="AI24" s="141">
        <f t="shared" si="44"/>
        <v>0</v>
      </c>
      <c r="AJ24" s="141">
        <f t="shared" si="44"/>
        <v>0</v>
      </c>
      <c r="AK24" s="141">
        <f t="shared" si="44"/>
        <v>0</v>
      </c>
      <c r="AL24" s="141">
        <f t="shared" si="44"/>
        <v>0</v>
      </c>
      <c r="AM24" s="141">
        <f t="shared" si="44"/>
        <v>0</v>
      </c>
      <c r="AN24" s="141">
        <f t="shared" si="44"/>
        <v>0</v>
      </c>
      <c r="AO24" s="141">
        <f t="shared" si="44"/>
        <v>0</v>
      </c>
      <c r="AP24" s="141">
        <f t="shared" si="44"/>
        <v>0</v>
      </c>
      <c r="AQ24" s="141">
        <f t="shared" si="44"/>
        <v>0</v>
      </c>
      <c r="AR24" s="141">
        <f t="shared" si="44"/>
        <v>0</v>
      </c>
      <c r="AS24" s="141">
        <f t="shared" si="44"/>
        <v>0</v>
      </c>
      <c r="AT24" s="141">
        <f t="shared" si="44"/>
        <v>0</v>
      </c>
      <c r="AU24" s="141">
        <f t="shared" si="44"/>
        <v>0</v>
      </c>
      <c r="AV24" s="141">
        <f t="shared" si="44"/>
        <v>0</v>
      </c>
      <c r="AW24" s="141">
        <f t="shared" si="44"/>
        <v>0</v>
      </c>
      <c r="AX24" s="141">
        <f t="shared" si="44"/>
        <v>0</v>
      </c>
      <c r="AY24" s="141">
        <f t="shared" si="44"/>
        <v>0</v>
      </c>
      <c r="AZ24" s="141">
        <f t="shared" si="44"/>
        <v>0</v>
      </c>
      <c r="BA24" s="141">
        <f t="shared" si="45"/>
        <v>0</v>
      </c>
      <c r="BB24" s="141">
        <f t="shared" si="45"/>
        <v>0</v>
      </c>
      <c r="BC24" s="141">
        <f t="shared" si="45"/>
        <v>0</v>
      </c>
      <c r="BD24" s="141">
        <f t="shared" si="45"/>
        <v>0</v>
      </c>
      <c r="BE24" s="141">
        <f t="shared" si="45"/>
        <v>0</v>
      </c>
      <c r="BF24" s="141">
        <f t="shared" si="45"/>
        <v>0</v>
      </c>
      <c r="BG24" s="141">
        <f t="shared" si="47"/>
        <v>0</v>
      </c>
      <c r="BH24" s="141">
        <f t="shared" si="47"/>
        <v>0</v>
      </c>
      <c r="BI24" s="141">
        <f t="shared" si="47"/>
        <v>0</v>
      </c>
      <c r="BJ24" s="141">
        <f t="shared" si="47"/>
        <v>0</v>
      </c>
      <c r="BK24" s="141">
        <f t="shared" si="47"/>
        <v>0</v>
      </c>
      <c r="BL24" s="141">
        <f t="shared" si="47"/>
        <v>0</v>
      </c>
      <c r="BM24" s="141">
        <f t="shared" si="47"/>
        <v>0</v>
      </c>
      <c r="BN24" s="141">
        <f t="shared" si="47"/>
        <v>0</v>
      </c>
      <c r="BO24" s="141">
        <f t="shared" si="47"/>
        <v>0</v>
      </c>
      <c r="BP24" s="141">
        <f t="shared" si="47"/>
        <v>0</v>
      </c>
      <c r="BQ24" s="141">
        <f t="shared" si="47"/>
        <v>0</v>
      </c>
      <c r="BR24" s="141">
        <f t="shared" si="47"/>
        <v>0</v>
      </c>
      <c r="BS24" s="141">
        <f t="shared" si="47"/>
        <v>0</v>
      </c>
      <c r="BT24" s="141">
        <f t="shared" si="45"/>
        <v>0</v>
      </c>
      <c r="BU24" s="141">
        <f t="shared" si="45"/>
        <v>0</v>
      </c>
      <c r="BV24" s="141">
        <f t="shared" si="45"/>
        <v>0</v>
      </c>
      <c r="BW24" s="141">
        <f t="shared" si="45"/>
        <v>0</v>
      </c>
      <c r="BX24" s="141">
        <f t="shared" si="45"/>
        <v>0</v>
      </c>
      <c r="BY24" s="141">
        <f t="shared" si="45"/>
        <v>0</v>
      </c>
      <c r="BZ24" s="141">
        <f t="shared" si="45"/>
        <v>0</v>
      </c>
      <c r="CA24" s="141">
        <f t="shared" si="45"/>
        <v>0</v>
      </c>
      <c r="CB24" s="141">
        <f t="shared" si="45"/>
        <v>0</v>
      </c>
      <c r="CC24" s="141">
        <f t="shared" si="45"/>
        <v>0</v>
      </c>
      <c r="CD24" s="141">
        <f t="shared" si="45"/>
        <v>0</v>
      </c>
      <c r="CE24" s="141">
        <f t="shared" si="45"/>
        <v>0</v>
      </c>
      <c r="CF24" s="141">
        <f t="shared" si="45"/>
        <v>0</v>
      </c>
      <c r="CG24" s="16">
        <f t="shared" si="45"/>
        <v>0</v>
      </c>
      <c r="CH24" s="16">
        <f t="shared" si="45"/>
        <v>0</v>
      </c>
      <c r="CI24" s="16">
        <f t="shared" si="45"/>
        <v>0</v>
      </c>
      <c r="CJ24" s="16">
        <f t="shared" ref="BA24:EH27" si="48">ROUNDUP($F24*CJ$4,0)</f>
        <v>0</v>
      </c>
      <c r="CK24" s="16">
        <f t="shared" si="48"/>
        <v>0</v>
      </c>
      <c r="CL24" s="16">
        <f t="shared" si="48"/>
        <v>0</v>
      </c>
      <c r="CM24" s="16">
        <f t="shared" si="48"/>
        <v>0</v>
      </c>
      <c r="CN24" s="16">
        <f t="shared" si="48"/>
        <v>0</v>
      </c>
      <c r="CO24" s="16">
        <f t="shared" si="48"/>
        <v>0</v>
      </c>
      <c r="CP24" s="16">
        <f t="shared" si="48"/>
        <v>0</v>
      </c>
      <c r="CQ24" s="16">
        <f t="shared" si="48"/>
        <v>0</v>
      </c>
      <c r="CR24" s="16">
        <f t="shared" si="48"/>
        <v>0</v>
      </c>
      <c r="CS24" s="16">
        <f t="shared" si="48"/>
        <v>0</v>
      </c>
      <c r="CT24" s="16">
        <f t="shared" si="48"/>
        <v>0</v>
      </c>
      <c r="CU24" s="16">
        <f t="shared" si="48"/>
        <v>0</v>
      </c>
      <c r="CV24" s="16">
        <f t="shared" si="48"/>
        <v>0</v>
      </c>
      <c r="CW24" s="16">
        <f t="shared" si="48"/>
        <v>0</v>
      </c>
      <c r="CX24" s="16">
        <f t="shared" si="48"/>
        <v>0</v>
      </c>
      <c r="CY24" s="16">
        <f t="shared" si="48"/>
        <v>0</v>
      </c>
      <c r="CZ24" s="16">
        <f t="shared" si="48"/>
        <v>0</v>
      </c>
      <c r="DA24" s="16">
        <f t="shared" si="48"/>
        <v>0</v>
      </c>
      <c r="DB24" s="16">
        <f t="shared" si="48"/>
        <v>0</v>
      </c>
      <c r="DC24" s="16">
        <f t="shared" si="48"/>
        <v>0</v>
      </c>
      <c r="DD24" s="16">
        <f t="shared" si="48"/>
        <v>0</v>
      </c>
      <c r="DE24" s="16">
        <f t="shared" si="48"/>
        <v>0</v>
      </c>
      <c r="DF24" s="16">
        <f t="shared" si="48"/>
        <v>0</v>
      </c>
      <c r="DG24" s="16">
        <f t="shared" si="48"/>
        <v>0</v>
      </c>
      <c r="DH24" s="16">
        <f t="shared" si="48"/>
        <v>0</v>
      </c>
      <c r="DI24" s="16">
        <f t="shared" si="48"/>
        <v>0</v>
      </c>
      <c r="DJ24" s="16">
        <f t="shared" si="48"/>
        <v>0</v>
      </c>
      <c r="DK24" s="16">
        <f t="shared" si="48"/>
        <v>0</v>
      </c>
      <c r="DL24" s="16">
        <f t="shared" si="48"/>
        <v>0</v>
      </c>
      <c r="DM24" s="16">
        <f t="shared" si="48"/>
        <v>0</v>
      </c>
      <c r="DN24" s="16">
        <f t="shared" si="48"/>
        <v>0</v>
      </c>
      <c r="DO24" s="16">
        <f t="shared" si="48"/>
        <v>0</v>
      </c>
      <c r="DP24" s="16">
        <f t="shared" si="48"/>
        <v>0</v>
      </c>
      <c r="DQ24" s="16">
        <f t="shared" si="48"/>
        <v>0</v>
      </c>
      <c r="DR24" s="16">
        <f t="shared" si="48"/>
        <v>0</v>
      </c>
      <c r="DS24" s="16">
        <f t="shared" si="48"/>
        <v>0</v>
      </c>
      <c r="DT24" s="16">
        <f t="shared" si="48"/>
        <v>0</v>
      </c>
      <c r="DU24" s="16">
        <f t="shared" si="48"/>
        <v>0</v>
      </c>
      <c r="DV24" s="16">
        <f t="shared" si="48"/>
        <v>0</v>
      </c>
      <c r="DW24" s="16">
        <f t="shared" si="48"/>
        <v>0</v>
      </c>
      <c r="DX24" s="16">
        <f t="shared" si="48"/>
        <v>0</v>
      </c>
      <c r="DY24" s="16">
        <f t="shared" si="48"/>
        <v>0</v>
      </c>
      <c r="DZ24" s="16">
        <f t="shared" si="48"/>
        <v>0</v>
      </c>
      <c r="EA24" s="16">
        <f t="shared" si="48"/>
        <v>0</v>
      </c>
      <c r="EB24" s="16"/>
      <c r="EC24" s="16">
        <f t="shared" si="48"/>
        <v>0</v>
      </c>
      <c r="ED24" s="16">
        <f t="shared" si="48"/>
        <v>0</v>
      </c>
      <c r="EE24" s="16">
        <f t="shared" si="48"/>
        <v>0</v>
      </c>
      <c r="EF24" s="16">
        <f t="shared" si="48"/>
        <v>0</v>
      </c>
      <c r="EG24" s="16">
        <f t="shared" si="48"/>
        <v>0</v>
      </c>
      <c r="EH24" s="16">
        <f t="shared" si="48"/>
        <v>0</v>
      </c>
      <c r="EI24" s="149">
        <f t="shared" si="2"/>
        <v>0</v>
      </c>
      <c r="EJ24" s="132">
        <f t="shared" si="3"/>
        <v>0</v>
      </c>
    </row>
    <row r="25" spans="1:210" ht="15.6">
      <c r="A25" s="15" t="s">
        <v>160</v>
      </c>
      <c r="B25" s="15">
        <v>17</v>
      </c>
      <c r="C25" s="15" t="s">
        <v>143</v>
      </c>
      <c r="D25" s="794" t="s">
        <v>167</v>
      </c>
      <c r="E25" s="795"/>
      <c r="F25" s="17">
        <v>0.2</v>
      </c>
      <c r="G25" s="141">
        <f t="shared" si="42"/>
        <v>0</v>
      </c>
      <c r="H25" s="141">
        <f t="shared" si="42"/>
        <v>0</v>
      </c>
      <c r="I25" s="141">
        <f t="shared" si="42"/>
        <v>0</v>
      </c>
      <c r="J25" s="141">
        <f t="shared" si="42"/>
        <v>0</v>
      </c>
      <c r="K25" s="141">
        <f t="shared" si="42"/>
        <v>0</v>
      </c>
      <c r="L25" s="141">
        <f t="shared" si="42"/>
        <v>0</v>
      </c>
      <c r="M25" s="141">
        <f t="shared" si="42"/>
        <v>0</v>
      </c>
      <c r="N25" s="141">
        <f t="shared" si="42"/>
        <v>0</v>
      </c>
      <c r="O25" s="141">
        <f t="shared" si="43"/>
        <v>0</v>
      </c>
      <c r="P25" s="141">
        <f t="shared" si="43"/>
        <v>0</v>
      </c>
      <c r="Q25" s="141">
        <f t="shared" si="43"/>
        <v>0</v>
      </c>
      <c r="R25" s="141">
        <f t="shared" si="43"/>
        <v>0</v>
      </c>
      <c r="S25" s="141">
        <f t="shared" si="43"/>
        <v>0</v>
      </c>
      <c r="T25" s="141">
        <f t="shared" si="43"/>
        <v>0</v>
      </c>
      <c r="U25" s="141">
        <f t="shared" si="43"/>
        <v>0</v>
      </c>
      <c r="V25" s="141">
        <f t="shared" si="44"/>
        <v>0</v>
      </c>
      <c r="W25" s="141">
        <f t="shared" si="44"/>
        <v>0</v>
      </c>
      <c r="X25" s="141">
        <f t="shared" si="44"/>
        <v>0</v>
      </c>
      <c r="Y25" s="141">
        <f t="shared" si="44"/>
        <v>0</v>
      </c>
      <c r="Z25" s="141">
        <f t="shared" si="44"/>
        <v>0</v>
      </c>
      <c r="AA25" s="141">
        <f t="shared" si="44"/>
        <v>0</v>
      </c>
      <c r="AB25" s="141">
        <f t="shared" si="44"/>
        <v>0</v>
      </c>
      <c r="AC25" s="141">
        <f t="shared" si="44"/>
        <v>0</v>
      </c>
      <c r="AD25" s="141">
        <f t="shared" si="44"/>
        <v>0</v>
      </c>
      <c r="AE25" s="141">
        <f t="shared" si="44"/>
        <v>0</v>
      </c>
      <c r="AF25" s="141">
        <f t="shared" si="44"/>
        <v>0</v>
      </c>
      <c r="AG25" s="141">
        <f t="shared" si="44"/>
        <v>0</v>
      </c>
      <c r="AH25" s="141">
        <f t="shared" si="44"/>
        <v>0</v>
      </c>
      <c r="AI25" s="141">
        <f t="shared" si="44"/>
        <v>0</v>
      </c>
      <c r="AJ25" s="141">
        <f t="shared" si="44"/>
        <v>0</v>
      </c>
      <c r="AK25" s="141">
        <f t="shared" si="44"/>
        <v>0</v>
      </c>
      <c r="AL25" s="141">
        <f t="shared" si="44"/>
        <v>0</v>
      </c>
      <c r="AM25" s="141">
        <f t="shared" si="44"/>
        <v>0</v>
      </c>
      <c r="AN25" s="141">
        <f t="shared" si="44"/>
        <v>0</v>
      </c>
      <c r="AO25" s="141">
        <f t="shared" si="44"/>
        <v>0</v>
      </c>
      <c r="AP25" s="141">
        <f t="shared" si="44"/>
        <v>0</v>
      </c>
      <c r="AQ25" s="141">
        <f t="shared" si="44"/>
        <v>0</v>
      </c>
      <c r="AR25" s="141">
        <f t="shared" si="44"/>
        <v>0</v>
      </c>
      <c r="AS25" s="141">
        <f t="shared" si="44"/>
        <v>0</v>
      </c>
      <c r="AT25" s="141">
        <f t="shared" si="44"/>
        <v>0</v>
      </c>
      <c r="AU25" s="141">
        <f t="shared" si="44"/>
        <v>0</v>
      </c>
      <c r="AV25" s="141">
        <f t="shared" si="44"/>
        <v>0</v>
      </c>
      <c r="AW25" s="141">
        <f t="shared" si="44"/>
        <v>0</v>
      </c>
      <c r="AX25" s="141">
        <f t="shared" si="44"/>
        <v>0</v>
      </c>
      <c r="AY25" s="141">
        <f t="shared" ref="V25:AZ27" si="49">ROUNDUP($F25*AY$4,0)</f>
        <v>0</v>
      </c>
      <c r="AZ25" s="141">
        <f t="shared" si="49"/>
        <v>0</v>
      </c>
      <c r="BA25" s="141">
        <f t="shared" si="48"/>
        <v>0</v>
      </c>
      <c r="BB25" s="141">
        <f t="shared" si="48"/>
        <v>0</v>
      </c>
      <c r="BC25" s="141">
        <f t="shared" si="48"/>
        <v>0</v>
      </c>
      <c r="BD25" s="141">
        <f t="shared" si="48"/>
        <v>0</v>
      </c>
      <c r="BE25" s="141">
        <f t="shared" si="48"/>
        <v>0</v>
      </c>
      <c r="BF25" s="141">
        <f t="shared" si="48"/>
        <v>0</v>
      </c>
      <c r="BG25" s="141">
        <f t="shared" si="48"/>
        <v>0</v>
      </c>
      <c r="BH25" s="141">
        <f t="shared" si="48"/>
        <v>0</v>
      </c>
      <c r="BI25" s="141">
        <f t="shared" si="48"/>
        <v>0</v>
      </c>
      <c r="BJ25" s="141">
        <f t="shared" si="48"/>
        <v>0</v>
      </c>
      <c r="BK25" s="141">
        <f t="shared" si="48"/>
        <v>0</v>
      </c>
      <c r="BL25" s="141">
        <f t="shared" si="48"/>
        <v>0</v>
      </c>
      <c r="BM25" s="141">
        <f t="shared" si="48"/>
        <v>0</v>
      </c>
      <c r="BN25" s="141">
        <f t="shared" si="48"/>
        <v>0</v>
      </c>
      <c r="BO25" s="141">
        <f t="shared" si="48"/>
        <v>0</v>
      </c>
      <c r="BP25" s="141">
        <f t="shared" si="48"/>
        <v>0</v>
      </c>
      <c r="BQ25" s="141">
        <f t="shared" si="48"/>
        <v>0</v>
      </c>
      <c r="BR25" s="141">
        <f t="shared" si="48"/>
        <v>0</v>
      </c>
      <c r="BS25" s="141">
        <f t="shared" si="47"/>
        <v>0</v>
      </c>
      <c r="BT25" s="141">
        <f t="shared" si="48"/>
        <v>0</v>
      </c>
      <c r="BU25" s="141">
        <f t="shared" si="48"/>
        <v>0</v>
      </c>
      <c r="BV25" s="141">
        <f t="shared" si="48"/>
        <v>0</v>
      </c>
      <c r="BW25" s="141">
        <f t="shared" si="48"/>
        <v>0</v>
      </c>
      <c r="BX25" s="141">
        <f t="shared" si="48"/>
        <v>0</v>
      </c>
      <c r="BY25" s="141">
        <f t="shared" si="48"/>
        <v>0</v>
      </c>
      <c r="BZ25" s="141">
        <f t="shared" si="48"/>
        <v>0</v>
      </c>
      <c r="CA25" s="141">
        <f t="shared" si="48"/>
        <v>0</v>
      </c>
      <c r="CB25" s="141">
        <f t="shared" si="48"/>
        <v>0</v>
      </c>
      <c r="CC25" s="141">
        <f t="shared" si="48"/>
        <v>0</v>
      </c>
      <c r="CD25" s="141">
        <f t="shared" si="48"/>
        <v>0</v>
      </c>
      <c r="CE25" s="141">
        <f t="shared" si="48"/>
        <v>0</v>
      </c>
      <c r="CF25" s="141">
        <f t="shared" si="48"/>
        <v>0</v>
      </c>
      <c r="CG25" s="16">
        <f t="shared" si="48"/>
        <v>0</v>
      </c>
      <c r="CH25" s="16">
        <f t="shared" si="48"/>
        <v>0</v>
      </c>
      <c r="CI25" s="16">
        <f t="shared" si="48"/>
        <v>0</v>
      </c>
      <c r="CJ25" s="16">
        <f t="shared" si="48"/>
        <v>0</v>
      </c>
      <c r="CK25" s="16">
        <f t="shared" si="48"/>
        <v>0</v>
      </c>
      <c r="CL25" s="16">
        <f t="shared" si="48"/>
        <v>0</v>
      </c>
      <c r="CM25" s="16">
        <f t="shared" si="48"/>
        <v>0</v>
      </c>
      <c r="CN25" s="16">
        <f t="shared" si="48"/>
        <v>0</v>
      </c>
      <c r="CO25" s="16">
        <f t="shared" si="48"/>
        <v>0</v>
      </c>
      <c r="CP25" s="16">
        <f t="shared" si="48"/>
        <v>0</v>
      </c>
      <c r="CQ25" s="16">
        <f t="shared" si="48"/>
        <v>0</v>
      </c>
      <c r="CR25" s="16">
        <f t="shared" si="48"/>
        <v>0</v>
      </c>
      <c r="CS25" s="16">
        <f t="shared" si="48"/>
        <v>0</v>
      </c>
      <c r="CT25" s="16">
        <f t="shared" si="48"/>
        <v>0</v>
      </c>
      <c r="CU25" s="16">
        <f t="shared" si="48"/>
        <v>0</v>
      </c>
      <c r="CV25" s="16">
        <f t="shared" si="48"/>
        <v>0</v>
      </c>
      <c r="CW25" s="16">
        <f t="shared" si="48"/>
        <v>0</v>
      </c>
      <c r="CX25" s="16">
        <f t="shared" si="48"/>
        <v>0</v>
      </c>
      <c r="CY25" s="16">
        <f t="shared" si="48"/>
        <v>0</v>
      </c>
      <c r="CZ25" s="16">
        <f t="shared" si="48"/>
        <v>0</v>
      </c>
      <c r="DA25" s="16">
        <f t="shared" si="48"/>
        <v>0</v>
      </c>
      <c r="DB25" s="16">
        <f t="shared" si="48"/>
        <v>0</v>
      </c>
      <c r="DC25" s="16">
        <f t="shared" si="48"/>
        <v>0</v>
      </c>
      <c r="DD25" s="16">
        <f t="shared" si="48"/>
        <v>0</v>
      </c>
      <c r="DE25" s="16">
        <f t="shared" si="48"/>
        <v>0</v>
      </c>
      <c r="DF25" s="16">
        <f t="shared" si="48"/>
        <v>0</v>
      </c>
      <c r="DG25" s="16">
        <f t="shared" si="48"/>
        <v>0</v>
      </c>
      <c r="DH25" s="16">
        <f t="shared" si="48"/>
        <v>0</v>
      </c>
      <c r="DI25" s="16">
        <f t="shared" si="48"/>
        <v>0</v>
      </c>
      <c r="DJ25" s="16">
        <f t="shared" si="48"/>
        <v>0</v>
      </c>
      <c r="DK25" s="16">
        <f t="shared" si="48"/>
        <v>0</v>
      </c>
      <c r="DL25" s="16">
        <f t="shared" si="48"/>
        <v>0</v>
      </c>
      <c r="DM25" s="16">
        <f t="shared" si="48"/>
        <v>0</v>
      </c>
      <c r="DN25" s="16">
        <f t="shared" si="48"/>
        <v>0</v>
      </c>
      <c r="DO25" s="16">
        <f t="shared" si="48"/>
        <v>0</v>
      </c>
      <c r="DP25" s="16">
        <f t="shared" si="48"/>
        <v>0</v>
      </c>
      <c r="DQ25" s="16">
        <f t="shared" si="48"/>
        <v>0</v>
      </c>
      <c r="DR25" s="16">
        <f t="shared" si="48"/>
        <v>0</v>
      </c>
      <c r="DS25" s="16">
        <f t="shared" si="48"/>
        <v>0</v>
      </c>
      <c r="DT25" s="16">
        <f t="shared" si="48"/>
        <v>0</v>
      </c>
      <c r="DU25" s="16">
        <f t="shared" si="48"/>
        <v>0</v>
      </c>
      <c r="DV25" s="16">
        <f t="shared" si="48"/>
        <v>0</v>
      </c>
      <c r="DW25" s="16">
        <f t="shared" si="48"/>
        <v>0</v>
      </c>
      <c r="DX25" s="16">
        <f t="shared" si="48"/>
        <v>0</v>
      </c>
      <c r="DY25" s="16">
        <f t="shared" si="48"/>
        <v>0</v>
      </c>
      <c r="DZ25" s="16">
        <f t="shared" si="48"/>
        <v>0</v>
      </c>
      <c r="EA25" s="16">
        <f t="shared" si="48"/>
        <v>0</v>
      </c>
      <c r="EB25" s="16"/>
      <c r="EC25" s="16">
        <f t="shared" si="48"/>
        <v>0</v>
      </c>
      <c r="ED25" s="16">
        <f t="shared" si="48"/>
        <v>0</v>
      </c>
      <c r="EE25" s="16">
        <f t="shared" si="48"/>
        <v>0</v>
      </c>
      <c r="EF25" s="16">
        <f t="shared" si="48"/>
        <v>0</v>
      </c>
      <c r="EG25" s="16">
        <f t="shared" si="48"/>
        <v>0</v>
      </c>
      <c r="EH25" s="16">
        <f t="shared" si="48"/>
        <v>0</v>
      </c>
      <c r="EI25" s="149">
        <f t="shared" si="2"/>
        <v>0</v>
      </c>
      <c r="EJ25" s="132">
        <f t="shared" si="3"/>
        <v>0</v>
      </c>
    </row>
    <row r="26" spans="1:210" ht="15.6">
      <c r="A26" s="15" t="s">
        <v>160</v>
      </c>
      <c r="B26" s="15">
        <v>18</v>
      </c>
      <c r="C26" s="15" t="s">
        <v>142</v>
      </c>
      <c r="D26" s="794" t="s">
        <v>437</v>
      </c>
      <c r="E26" s="795"/>
      <c r="F26" s="17">
        <f>1/2.5</f>
        <v>0.4</v>
      </c>
      <c r="G26" s="141">
        <f t="shared" si="42"/>
        <v>0</v>
      </c>
      <c r="H26" s="141">
        <f t="shared" si="42"/>
        <v>0</v>
      </c>
      <c r="I26" s="141">
        <f t="shared" si="42"/>
        <v>0</v>
      </c>
      <c r="J26" s="141">
        <f t="shared" si="42"/>
        <v>0</v>
      </c>
      <c r="K26" s="141">
        <f t="shared" si="42"/>
        <v>0</v>
      </c>
      <c r="L26" s="141">
        <f t="shared" si="42"/>
        <v>0</v>
      </c>
      <c r="M26" s="141">
        <f t="shared" si="42"/>
        <v>0</v>
      </c>
      <c r="N26" s="141">
        <f t="shared" si="42"/>
        <v>0</v>
      </c>
      <c r="O26" s="141">
        <f t="shared" si="43"/>
        <v>0</v>
      </c>
      <c r="P26" s="141">
        <f t="shared" si="43"/>
        <v>0</v>
      </c>
      <c r="Q26" s="141">
        <f t="shared" si="43"/>
        <v>0</v>
      </c>
      <c r="R26" s="141">
        <f t="shared" si="43"/>
        <v>0</v>
      </c>
      <c r="S26" s="141">
        <f t="shared" si="43"/>
        <v>0</v>
      </c>
      <c r="T26" s="141">
        <f t="shared" si="43"/>
        <v>0</v>
      </c>
      <c r="U26" s="141">
        <f t="shared" si="43"/>
        <v>0</v>
      </c>
      <c r="V26" s="141">
        <f t="shared" si="49"/>
        <v>0</v>
      </c>
      <c r="W26" s="141">
        <f t="shared" si="49"/>
        <v>0</v>
      </c>
      <c r="X26" s="141">
        <f t="shared" si="49"/>
        <v>0</v>
      </c>
      <c r="Y26" s="141">
        <f t="shared" si="49"/>
        <v>0</v>
      </c>
      <c r="Z26" s="141">
        <f t="shared" si="49"/>
        <v>0</v>
      </c>
      <c r="AA26" s="141">
        <f t="shared" si="49"/>
        <v>0</v>
      </c>
      <c r="AB26" s="141">
        <f t="shared" si="49"/>
        <v>0</v>
      </c>
      <c r="AC26" s="141">
        <f t="shared" si="49"/>
        <v>0</v>
      </c>
      <c r="AD26" s="141">
        <f t="shared" si="49"/>
        <v>0</v>
      </c>
      <c r="AE26" s="141">
        <f t="shared" si="49"/>
        <v>0</v>
      </c>
      <c r="AF26" s="141">
        <f t="shared" si="49"/>
        <v>0</v>
      </c>
      <c r="AG26" s="141">
        <f t="shared" si="49"/>
        <v>0</v>
      </c>
      <c r="AH26" s="141">
        <f t="shared" si="49"/>
        <v>0</v>
      </c>
      <c r="AI26" s="141">
        <f t="shared" si="49"/>
        <v>0</v>
      </c>
      <c r="AJ26" s="141">
        <f t="shared" si="49"/>
        <v>0</v>
      </c>
      <c r="AK26" s="141">
        <f t="shared" si="49"/>
        <v>0</v>
      </c>
      <c r="AL26" s="141">
        <f t="shared" si="49"/>
        <v>0</v>
      </c>
      <c r="AM26" s="141">
        <f t="shared" si="49"/>
        <v>0</v>
      </c>
      <c r="AN26" s="141">
        <f t="shared" si="49"/>
        <v>0</v>
      </c>
      <c r="AO26" s="141">
        <f t="shared" si="49"/>
        <v>0</v>
      </c>
      <c r="AP26" s="141">
        <f t="shared" si="49"/>
        <v>0</v>
      </c>
      <c r="AQ26" s="141">
        <f t="shared" si="49"/>
        <v>0</v>
      </c>
      <c r="AR26" s="141">
        <f t="shared" si="49"/>
        <v>0</v>
      </c>
      <c r="AS26" s="141">
        <f t="shared" si="49"/>
        <v>0</v>
      </c>
      <c r="AT26" s="141">
        <f t="shared" si="49"/>
        <v>0</v>
      </c>
      <c r="AU26" s="141">
        <f t="shared" si="49"/>
        <v>0</v>
      </c>
      <c r="AV26" s="141">
        <f t="shared" si="49"/>
        <v>0</v>
      </c>
      <c r="AW26" s="141">
        <f t="shared" si="49"/>
        <v>0</v>
      </c>
      <c r="AX26" s="141">
        <f t="shared" si="49"/>
        <v>0</v>
      </c>
      <c r="AY26" s="141">
        <f t="shared" si="49"/>
        <v>0</v>
      </c>
      <c r="AZ26" s="141">
        <f t="shared" si="49"/>
        <v>0</v>
      </c>
      <c r="BA26" s="141">
        <f t="shared" si="48"/>
        <v>0</v>
      </c>
      <c r="BB26" s="141">
        <f t="shared" si="48"/>
        <v>0</v>
      </c>
      <c r="BC26" s="141">
        <f t="shared" si="48"/>
        <v>0</v>
      </c>
      <c r="BD26" s="141">
        <f t="shared" si="48"/>
        <v>0</v>
      </c>
      <c r="BE26" s="141">
        <f t="shared" si="48"/>
        <v>0</v>
      </c>
      <c r="BF26" s="141">
        <f t="shared" si="48"/>
        <v>0</v>
      </c>
      <c r="BG26" s="141">
        <f t="shared" si="47"/>
        <v>0</v>
      </c>
      <c r="BH26" s="141">
        <f t="shared" si="47"/>
        <v>0</v>
      </c>
      <c r="BI26" s="141">
        <f t="shared" si="47"/>
        <v>0</v>
      </c>
      <c r="BJ26" s="141">
        <f t="shared" si="47"/>
        <v>0</v>
      </c>
      <c r="BK26" s="141">
        <f t="shared" si="47"/>
        <v>0</v>
      </c>
      <c r="BL26" s="141">
        <f t="shared" si="47"/>
        <v>0</v>
      </c>
      <c r="BM26" s="141">
        <f t="shared" si="47"/>
        <v>0</v>
      </c>
      <c r="BN26" s="141">
        <f t="shared" si="47"/>
        <v>0</v>
      </c>
      <c r="BO26" s="141">
        <f t="shared" si="47"/>
        <v>0</v>
      </c>
      <c r="BP26" s="141">
        <f t="shared" si="47"/>
        <v>0</v>
      </c>
      <c r="BQ26" s="141">
        <f t="shared" si="47"/>
        <v>0</v>
      </c>
      <c r="BR26" s="141">
        <f t="shared" si="47"/>
        <v>0</v>
      </c>
      <c r="BS26" s="141">
        <f t="shared" si="47"/>
        <v>0</v>
      </c>
      <c r="BT26" s="141">
        <f t="shared" si="48"/>
        <v>0</v>
      </c>
      <c r="BU26" s="141">
        <f t="shared" si="48"/>
        <v>0</v>
      </c>
      <c r="BV26" s="141">
        <f t="shared" si="48"/>
        <v>0</v>
      </c>
      <c r="BW26" s="141">
        <f t="shared" si="48"/>
        <v>0</v>
      </c>
      <c r="BX26" s="141">
        <f t="shared" si="48"/>
        <v>0</v>
      </c>
      <c r="BY26" s="141">
        <f t="shared" si="48"/>
        <v>0</v>
      </c>
      <c r="BZ26" s="141">
        <f t="shared" si="48"/>
        <v>0</v>
      </c>
      <c r="CA26" s="141">
        <f t="shared" si="48"/>
        <v>0</v>
      </c>
      <c r="CB26" s="141">
        <f t="shared" si="48"/>
        <v>0</v>
      </c>
      <c r="CC26" s="141">
        <f t="shared" si="48"/>
        <v>0</v>
      </c>
      <c r="CD26" s="141">
        <f t="shared" si="48"/>
        <v>0</v>
      </c>
      <c r="CE26" s="141">
        <f t="shared" si="48"/>
        <v>0</v>
      </c>
      <c r="CF26" s="141">
        <f t="shared" si="48"/>
        <v>0</v>
      </c>
      <c r="CG26" s="16">
        <f t="shared" si="48"/>
        <v>0</v>
      </c>
      <c r="CH26" s="16">
        <f t="shared" si="48"/>
        <v>0</v>
      </c>
      <c r="CI26" s="16">
        <f t="shared" si="48"/>
        <v>0</v>
      </c>
      <c r="CJ26" s="16">
        <f t="shared" si="48"/>
        <v>0</v>
      </c>
      <c r="CK26" s="16">
        <f t="shared" si="48"/>
        <v>0</v>
      </c>
      <c r="CL26" s="16">
        <f t="shared" si="48"/>
        <v>0</v>
      </c>
      <c r="CM26" s="16">
        <f t="shared" si="48"/>
        <v>0</v>
      </c>
      <c r="CN26" s="16">
        <f t="shared" si="48"/>
        <v>0</v>
      </c>
      <c r="CO26" s="16">
        <f t="shared" si="48"/>
        <v>0</v>
      </c>
      <c r="CP26" s="16">
        <f t="shared" si="48"/>
        <v>0</v>
      </c>
      <c r="CQ26" s="16">
        <f t="shared" si="48"/>
        <v>0</v>
      </c>
      <c r="CR26" s="16">
        <f t="shared" si="48"/>
        <v>0</v>
      </c>
      <c r="CS26" s="16">
        <f t="shared" si="48"/>
        <v>0</v>
      </c>
      <c r="CT26" s="16">
        <f t="shared" si="48"/>
        <v>0</v>
      </c>
      <c r="CU26" s="16">
        <f t="shared" si="48"/>
        <v>0</v>
      </c>
      <c r="CV26" s="16">
        <f t="shared" si="48"/>
        <v>0</v>
      </c>
      <c r="CW26" s="16">
        <f t="shared" si="48"/>
        <v>0</v>
      </c>
      <c r="CX26" s="16">
        <f t="shared" si="48"/>
        <v>0</v>
      </c>
      <c r="CY26" s="16">
        <f t="shared" si="48"/>
        <v>0</v>
      </c>
      <c r="CZ26" s="16">
        <f t="shared" ref="CS26:DG27" si="50">ROUNDUP($F26*CZ$4,0)</f>
        <v>0</v>
      </c>
      <c r="DA26" s="16">
        <f t="shared" si="50"/>
        <v>0</v>
      </c>
      <c r="DB26" s="16">
        <f t="shared" si="50"/>
        <v>0</v>
      </c>
      <c r="DC26" s="16">
        <f t="shared" si="50"/>
        <v>0</v>
      </c>
      <c r="DD26" s="16">
        <f t="shared" si="50"/>
        <v>0</v>
      </c>
      <c r="DE26" s="16">
        <f t="shared" si="50"/>
        <v>0</v>
      </c>
      <c r="DF26" s="16">
        <f t="shared" si="50"/>
        <v>0</v>
      </c>
      <c r="DG26" s="16">
        <f t="shared" si="50"/>
        <v>0</v>
      </c>
      <c r="DH26" s="16">
        <f t="shared" si="48"/>
        <v>0</v>
      </c>
      <c r="DI26" s="16">
        <f t="shared" si="48"/>
        <v>0</v>
      </c>
      <c r="DJ26" s="16">
        <f t="shared" si="48"/>
        <v>0</v>
      </c>
      <c r="DK26" s="16">
        <f t="shared" si="48"/>
        <v>0</v>
      </c>
      <c r="DL26" s="16">
        <f t="shared" si="48"/>
        <v>0</v>
      </c>
      <c r="DM26" s="16">
        <f t="shared" si="48"/>
        <v>0</v>
      </c>
      <c r="DN26" s="16">
        <f t="shared" si="48"/>
        <v>0</v>
      </c>
      <c r="DO26" s="16">
        <f t="shared" si="48"/>
        <v>0</v>
      </c>
      <c r="DP26" s="16">
        <f t="shared" si="48"/>
        <v>0</v>
      </c>
      <c r="DQ26" s="16">
        <f t="shared" si="48"/>
        <v>0</v>
      </c>
      <c r="DR26" s="16">
        <f t="shared" si="48"/>
        <v>0</v>
      </c>
      <c r="DS26" s="16">
        <f t="shared" si="48"/>
        <v>0</v>
      </c>
      <c r="DT26" s="16">
        <f t="shared" si="48"/>
        <v>0</v>
      </c>
      <c r="DU26" s="16">
        <f t="shared" si="48"/>
        <v>0</v>
      </c>
      <c r="DV26" s="16">
        <f t="shared" si="48"/>
        <v>0</v>
      </c>
      <c r="DW26" s="16">
        <f t="shared" si="48"/>
        <v>0</v>
      </c>
      <c r="DX26" s="16">
        <f t="shared" si="48"/>
        <v>0</v>
      </c>
      <c r="DY26" s="16">
        <f t="shared" si="48"/>
        <v>0</v>
      </c>
      <c r="DZ26" s="16">
        <f t="shared" si="48"/>
        <v>0</v>
      </c>
      <c r="EA26" s="16">
        <f t="shared" si="48"/>
        <v>0</v>
      </c>
      <c r="EB26" s="16"/>
      <c r="EC26" s="16">
        <f t="shared" si="48"/>
        <v>0</v>
      </c>
      <c r="ED26" s="16">
        <f t="shared" si="48"/>
        <v>0</v>
      </c>
      <c r="EE26" s="16">
        <f t="shared" si="48"/>
        <v>0</v>
      </c>
      <c r="EF26" s="16">
        <f t="shared" si="48"/>
        <v>0</v>
      </c>
      <c r="EG26" s="16">
        <f t="shared" si="48"/>
        <v>0</v>
      </c>
      <c r="EH26" s="16">
        <f t="shared" si="48"/>
        <v>0</v>
      </c>
      <c r="EI26" s="149">
        <f t="shared" si="2"/>
        <v>0</v>
      </c>
      <c r="EJ26" s="132">
        <f t="shared" si="3"/>
        <v>0</v>
      </c>
    </row>
    <row r="27" spans="1:210" ht="16.2" thickBot="1">
      <c r="A27" s="15" t="s">
        <v>160</v>
      </c>
      <c r="B27" s="15">
        <v>19</v>
      </c>
      <c r="C27" s="15" t="s">
        <v>140</v>
      </c>
      <c r="D27" s="794" t="s">
        <v>155</v>
      </c>
      <c r="E27" s="795"/>
      <c r="F27" s="17">
        <v>0.1</v>
      </c>
      <c r="G27" s="141">
        <f t="shared" si="42"/>
        <v>0</v>
      </c>
      <c r="H27" s="141">
        <f t="shared" si="42"/>
        <v>0</v>
      </c>
      <c r="I27" s="141">
        <f t="shared" si="42"/>
        <v>0</v>
      </c>
      <c r="J27" s="141">
        <f t="shared" si="42"/>
        <v>0</v>
      </c>
      <c r="K27" s="141">
        <f t="shared" si="42"/>
        <v>0</v>
      </c>
      <c r="L27" s="141">
        <f t="shared" si="42"/>
        <v>0</v>
      </c>
      <c r="M27" s="141">
        <f t="shared" si="42"/>
        <v>0</v>
      </c>
      <c r="N27" s="141">
        <f t="shared" si="42"/>
        <v>0</v>
      </c>
      <c r="O27" s="141">
        <f t="shared" si="43"/>
        <v>0</v>
      </c>
      <c r="P27" s="141">
        <f t="shared" si="43"/>
        <v>0</v>
      </c>
      <c r="Q27" s="141">
        <f t="shared" si="43"/>
        <v>0</v>
      </c>
      <c r="R27" s="141">
        <f t="shared" si="43"/>
        <v>0</v>
      </c>
      <c r="S27" s="141">
        <f t="shared" si="43"/>
        <v>0</v>
      </c>
      <c r="T27" s="141">
        <f t="shared" si="43"/>
        <v>0</v>
      </c>
      <c r="U27" s="141">
        <f t="shared" si="43"/>
        <v>0</v>
      </c>
      <c r="V27" s="141">
        <f t="shared" si="49"/>
        <v>0</v>
      </c>
      <c r="W27" s="141">
        <f t="shared" si="49"/>
        <v>0</v>
      </c>
      <c r="X27" s="141">
        <f t="shared" si="49"/>
        <v>0</v>
      </c>
      <c r="Y27" s="141">
        <f t="shared" si="49"/>
        <v>0</v>
      </c>
      <c r="Z27" s="141">
        <f t="shared" si="49"/>
        <v>0</v>
      </c>
      <c r="AA27" s="141">
        <f t="shared" si="49"/>
        <v>0</v>
      </c>
      <c r="AB27" s="141">
        <f t="shared" si="49"/>
        <v>0</v>
      </c>
      <c r="AC27" s="141">
        <f t="shared" si="49"/>
        <v>0</v>
      </c>
      <c r="AD27" s="141">
        <f t="shared" si="49"/>
        <v>0</v>
      </c>
      <c r="AE27" s="141">
        <f t="shared" si="49"/>
        <v>0</v>
      </c>
      <c r="AF27" s="141">
        <f t="shared" si="49"/>
        <v>0</v>
      </c>
      <c r="AG27" s="141">
        <f t="shared" si="49"/>
        <v>0</v>
      </c>
      <c r="AH27" s="141">
        <f t="shared" si="49"/>
        <v>0</v>
      </c>
      <c r="AI27" s="141">
        <f t="shared" si="49"/>
        <v>0</v>
      </c>
      <c r="AJ27" s="141">
        <f t="shared" si="49"/>
        <v>0</v>
      </c>
      <c r="AK27" s="141">
        <f t="shared" si="49"/>
        <v>0</v>
      </c>
      <c r="AL27" s="141">
        <f t="shared" si="49"/>
        <v>0</v>
      </c>
      <c r="AM27" s="141">
        <f t="shared" si="49"/>
        <v>0</v>
      </c>
      <c r="AN27" s="141">
        <f t="shared" si="49"/>
        <v>0</v>
      </c>
      <c r="AO27" s="141">
        <f t="shared" si="49"/>
        <v>0</v>
      </c>
      <c r="AP27" s="141">
        <f t="shared" si="49"/>
        <v>0</v>
      </c>
      <c r="AQ27" s="141">
        <f t="shared" si="49"/>
        <v>0</v>
      </c>
      <c r="AR27" s="141">
        <f t="shared" si="49"/>
        <v>0</v>
      </c>
      <c r="AS27" s="141">
        <f t="shared" si="49"/>
        <v>0</v>
      </c>
      <c r="AT27" s="141">
        <f t="shared" si="49"/>
        <v>0</v>
      </c>
      <c r="AU27" s="141">
        <f t="shared" si="49"/>
        <v>0</v>
      </c>
      <c r="AV27" s="141">
        <f t="shared" si="49"/>
        <v>0</v>
      </c>
      <c r="AW27" s="141">
        <f t="shared" si="49"/>
        <v>0</v>
      </c>
      <c r="AX27" s="141">
        <f t="shared" si="49"/>
        <v>0</v>
      </c>
      <c r="AY27" s="141">
        <f t="shared" si="49"/>
        <v>0</v>
      </c>
      <c r="AZ27" s="141">
        <f t="shared" si="49"/>
        <v>0</v>
      </c>
      <c r="BA27" s="141">
        <f t="shared" si="48"/>
        <v>0</v>
      </c>
      <c r="BB27" s="141">
        <f t="shared" si="48"/>
        <v>0</v>
      </c>
      <c r="BC27" s="141">
        <f t="shared" si="48"/>
        <v>0</v>
      </c>
      <c r="BD27" s="141">
        <f t="shared" si="48"/>
        <v>0</v>
      </c>
      <c r="BE27" s="141">
        <f t="shared" si="48"/>
        <v>0</v>
      </c>
      <c r="BF27" s="141">
        <f t="shared" si="48"/>
        <v>0</v>
      </c>
      <c r="BG27" s="141">
        <f t="shared" si="47"/>
        <v>0</v>
      </c>
      <c r="BH27" s="141">
        <f t="shared" si="47"/>
        <v>0</v>
      </c>
      <c r="BI27" s="141">
        <f t="shared" si="47"/>
        <v>0</v>
      </c>
      <c r="BJ27" s="141">
        <f t="shared" si="47"/>
        <v>0</v>
      </c>
      <c r="BK27" s="141">
        <f t="shared" si="47"/>
        <v>0</v>
      </c>
      <c r="BL27" s="141">
        <f t="shared" si="47"/>
        <v>0</v>
      </c>
      <c r="BM27" s="141">
        <f t="shared" si="47"/>
        <v>0</v>
      </c>
      <c r="BN27" s="141">
        <f t="shared" si="47"/>
        <v>0</v>
      </c>
      <c r="BO27" s="141">
        <f t="shared" si="47"/>
        <v>0</v>
      </c>
      <c r="BP27" s="141">
        <f t="shared" si="47"/>
        <v>0</v>
      </c>
      <c r="BQ27" s="141">
        <f t="shared" si="47"/>
        <v>0</v>
      </c>
      <c r="BR27" s="141">
        <f t="shared" si="47"/>
        <v>0</v>
      </c>
      <c r="BS27" s="141">
        <f t="shared" si="47"/>
        <v>0</v>
      </c>
      <c r="BT27" s="141">
        <f t="shared" si="48"/>
        <v>0</v>
      </c>
      <c r="BU27" s="141">
        <f t="shared" si="48"/>
        <v>0</v>
      </c>
      <c r="BV27" s="141">
        <f t="shared" si="48"/>
        <v>0</v>
      </c>
      <c r="BW27" s="141">
        <f t="shared" si="48"/>
        <v>0</v>
      </c>
      <c r="BX27" s="141">
        <f t="shared" si="48"/>
        <v>0</v>
      </c>
      <c r="BY27" s="141">
        <f t="shared" si="48"/>
        <v>0</v>
      </c>
      <c r="BZ27" s="141">
        <f t="shared" si="48"/>
        <v>0</v>
      </c>
      <c r="CA27" s="141">
        <f t="shared" si="48"/>
        <v>0</v>
      </c>
      <c r="CB27" s="141">
        <f t="shared" si="48"/>
        <v>0</v>
      </c>
      <c r="CC27" s="141">
        <f t="shared" si="48"/>
        <v>0</v>
      </c>
      <c r="CD27" s="141">
        <f t="shared" si="48"/>
        <v>0</v>
      </c>
      <c r="CE27" s="141">
        <f t="shared" si="48"/>
        <v>0</v>
      </c>
      <c r="CF27" s="141">
        <f t="shared" si="48"/>
        <v>0</v>
      </c>
      <c r="CG27" s="16">
        <f t="shared" si="48"/>
        <v>0</v>
      </c>
      <c r="CH27" s="16">
        <f t="shared" si="48"/>
        <v>0</v>
      </c>
      <c r="CI27" s="16">
        <f t="shared" si="48"/>
        <v>0</v>
      </c>
      <c r="CJ27" s="16">
        <f t="shared" si="48"/>
        <v>0</v>
      </c>
      <c r="CK27" s="16">
        <f t="shared" si="48"/>
        <v>0</v>
      </c>
      <c r="CL27" s="16">
        <f t="shared" si="48"/>
        <v>0</v>
      </c>
      <c r="CM27" s="16">
        <f t="shared" si="48"/>
        <v>0</v>
      </c>
      <c r="CN27" s="16">
        <f t="shared" si="48"/>
        <v>0</v>
      </c>
      <c r="CO27" s="16">
        <f t="shared" si="48"/>
        <v>0</v>
      </c>
      <c r="CP27" s="16">
        <f t="shared" si="48"/>
        <v>0</v>
      </c>
      <c r="CQ27" s="16">
        <f t="shared" si="48"/>
        <v>0</v>
      </c>
      <c r="CR27" s="16">
        <f t="shared" si="48"/>
        <v>0</v>
      </c>
      <c r="CS27" s="16">
        <f t="shared" si="50"/>
        <v>0</v>
      </c>
      <c r="CT27" s="16">
        <f t="shared" si="50"/>
        <v>0</v>
      </c>
      <c r="CU27" s="16">
        <f t="shared" si="50"/>
        <v>0</v>
      </c>
      <c r="CV27" s="16">
        <f t="shared" si="50"/>
        <v>0</v>
      </c>
      <c r="CW27" s="16">
        <f t="shared" si="50"/>
        <v>0</v>
      </c>
      <c r="CX27" s="16">
        <f t="shared" si="50"/>
        <v>0</v>
      </c>
      <c r="CY27" s="16">
        <f t="shared" si="50"/>
        <v>0</v>
      </c>
      <c r="CZ27" s="16">
        <f t="shared" si="50"/>
        <v>0</v>
      </c>
      <c r="DA27" s="16">
        <f t="shared" si="50"/>
        <v>0</v>
      </c>
      <c r="DB27" s="16">
        <f t="shared" si="50"/>
        <v>0</v>
      </c>
      <c r="DC27" s="16">
        <f t="shared" si="50"/>
        <v>0</v>
      </c>
      <c r="DD27" s="16">
        <f t="shared" si="50"/>
        <v>0</v>
      </c>
      <c r="DE27" s="16">
        <f t="shared" si="50"/>
        <v>0</v>
      </c>
      <c r="DF27" s="16">
        <f t="shared" si="50"/>
        <v>0</v>
      </c>
      <c r="DG27" s="16">
        <f t="shared" si="50"/>
        <v>0</v>
      </c>
      <c r="DH27" s="16">
        <f t="shared" si="48"/>
        <v>0</v>
      </c>
      <c r="DI27" s="16">
        <f t="shared" si="48"/>
        <v>0</v>
      </c>
      <c r="DJ27" s="16">
        <f t="shared" si="48"/>
        <v>0</v>
      </c>
      <c r="DK27" s="16">
        <f t="shared" si="48"/>
        <v>0</v>
      </c>
      <c r="DL27" s="16">
        <f t="shared" si="48"/>
        <v>0</v>
      </c>
      <c r="DM27" s="16">
        <f t="shared" si="48"/>
        <v>0</v>
      </c>
      <c r="DN27" s="16">
        <f t="shared" si="48"/>
        <v>0</v>
      </c>
      <c r="DO27" s="16">
        <f t="shared" si="48"/>
        <v>0</v>
      </c>
      <c r="DP27" s="16">
        <f t="shared" si="48"/>
        <v>0</v>
      </c>
      <c r="DQ27" s="16">
        <f t="shared" si="48"/>
        <v>0</v>
      </c>
      <c r="DR27" s="16">
        <f t="shared" si="48"/>
        <v>0</v>
      </c>
      <c r="DS27" s="16">
        <f t="shared" si="48"/>
        <v>0</v>
      </c>
      <c r="DT27" s="16">
        <f t="shared" si="48"/>
        <v>0</v>
      </c>
      <c r="DU27" s="16">
        <f t="shared" si="48"/>
        <v>0</v>
      </c>
      <c r="DV27" s="16">
        <f t="shared" si="48"/>
        <v>0</v>
      </c>
      <c r="DW27" s="16">
        <f t="shared" si="48"/>
        <v>0</v>
      </c>
      <c r="DX27" s="16">
        <f t="shared" si="48"/>
        <v>0</v>
      </c>
      <c r="DY27" s="16">
        <f t="shared" si="48"/>
        <v>0</v>
      </c>
      <c r="DZ27" s="16">
        <f t="shared" si="48"/>
        <v>0</v>
      </c>
      <c r="EA27" s="16">
        <f t="shared" si="48"/>
        <v>0</v>
      </c>
      <c r="EB27" s="16"/>
      <c r="EC27" s="16">
        <f t="shared" si="48"/>
        <v>0</v>
      </c>
      <c r="ED27" s="16">
        <f t="shared" si="48"/>
        <v>0</v>
      </c>
      <c r="EE27" s="16">
        <f t="shared" si="48"/>
        <v>0</v>
      </c>
      <c r="EF27" s="16">
        <f t="shared" si="48"/>
        <v>0</v>
      </c>
      <c r="EG27" s="16">
        <f t="shared" si="48"/>
        <v>0</v>
      </c>
      <c r="EH27" s="16">
        <f t="shared" si="48"/>
        <v>0</v>
      </c>
      <c r="EI27" s="149">
        <f t="shared" si="2"/>
        <v>0</v>
      </c>
      <c r="EJ27" s="133">
        <f t="shared" si="3"/>
        <v>0</v>
      </c>
    </row>
    <row r="28" spans="1:210" s="35" customFormat="1" ht="14.4" thickBot="1">
      <c r="A28" s="32"/>
      <c r="B28" s="32"/>
      <c r="C28" s="157"/>
      <c r="D28" s="158"/>
      <c r="E28" s="159"/>
      <c r="F28" s="3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34"/>
      <c r="EG28" s="34"/>
      <c r="EH28" s="34"/>
      <c r="EI28" s="150"/>
      <c r="EJ28" s="151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</row>
    <row r="29" spans="1:210" ht="15.6">
      <c r="A29" s="15" t="s">
        <v>141</v>
      </c>
      <c r="B29" s="152">
        <v>1</v>
      </c>
      <c r="C29" s="14" t="s">
        <v>159</v>
      </c>
      <c r="D29" s="796" t="s">
        <v>153</v>
      </c>
      <c r="E29" s="796"/>
      <c r="F29" s="153">
        <v>0.16666666666666666</v>
      </c>
      <c r="G29" s="142">
        <f t="shared" ref="G29:U29" si="51">ROUNDUP($F29*G$4,0)</f>
        <v>0</v>
      </c>
      <c r="H29" s="142">
        <f t="shared" si="51"/>
        <v>0</v>
      </c>
      <c r="I29" s="142">
        <f t="shared" si="51"/>
        <v>0</v>
      </c>
      <c r="J29" s="142">
        <f t="shared" si="51"/>
        <v>0</v>
      </c>
      <c r="K29" s="142">
        <f t="shared" si="51"/>
        <v>0</v>
      </c>
      <c r="L29" s="142">
        <f t="shared" si="51"/>
        <v>0</v>
      </c>
      <c r="M29" s="142">
        <f t="shared" si="51"/>
        <v>0</v>
      </c>
      <c r="N29" s="142">
        <f t="shared" si="51"/>
        <v>0</v>
      </c>
      <c r="O29" s="142">
        <f t="shared" si="51"/>
        <v>0</v>
      </c>
      <c r="P29" s="142">
        <f t="shared" si="51"/>
        <v>0</v>
      </c>
      <c r="Q29" s="142">
        <f t="shared" si="51"/>
        <v>0</v>
      </c>
      <c r="R29" s="142">
        <f t="shared" si="51"/>
        <v>0</v>
      </c>
      <c r="S29" s="142">
        <f t="shared" si="51"/>
        <v>0</v>
      </c>
      <c r="T29" s="142">
        <f t="shared" si="51"/>
        <v>0</v>
      </c>
      <c r="U29" s="142">
        <f t="shared" si="51"/>
        <v>0</v>
      </c>
      <c r="V29" s="142">
        <f t="shared" ref="V29:EH29" si="52">ROUNDUP($F29*V$4,0)</f>
        <v>0</v>
      </c>
      <c r="W29" s="142">
        <f t="shared" si="52"/>
        <v>0</v>
      </c>
      <c r="X29" s="142">
        <f t="shared" si="52"/>
        <v>0</v>
      </c>
      <c r="Y29" s="142">
        <f t="shared" si="52"/>
        <v>0</v>
      </c>
      <c r="Z29" s="142">
        <f t="shared" si="52"/>
        <v>0</v>
      </c>
      <c r="AA29" s="142">
        <f t="shared" si="52"/>
        <v>0</v>
      </c>
      <c r="AB29" s="142">
        <f t="shared" si="52"/>
        <v>0</v>
      </c>
      <c r="AC29" s="142">
        <f t="shared" si="52"/>
        <v>0</v>
      </c>
      <c r="AD29" s="142">
        <f t="shared" si="52"/>
        <v>0</v>
      </c>
      <c r="AE29" s="142">
        <f t="shared" si="52"/>
        <v>0</v>
      </c>
      <c r="AF29" s="142">
        <f t="shared" si="52"/>
        <v>0</v>
      </c>
      <c r="AG29" s="142">
        <f t="shared" si="52"/>
        <v>0</v>
      </c>
      <c r="AH29" s="142">
        <f t="shared" si="52"/>
        <v>0</v>
      </c>
      <c r="AI29" s="142">
        <f t="shared" si="52"/>
        <v>0</v>
      </c>
      <c r="AJ29" s="142">
        <f t="shared" si="52"/>
        <v>0</v>
      </c>
      <c r="AK29" s="142">
        <f t="shared" si="52"/>
        <v>0</v>
      </c>
      <c r="AL29" s="142">
        <f t="shared" si="52"/>
        <v>0</v>
      </c>
      <c r="AM29" s="142">
        <f t="shared" si="52"/>
        <v>0</v>
      </c>
      <c r="AN29" s="142">
        <f t="shared" si="52"/>
        <v>0</v>
      </c>
      <c r="AO29" s="142">
        <f t="shared" si="52"/>
        <v>0</v>
      </c>
      <c r="AP29" s="142">
        <f t="shared" si="52"/>
        <v>0</v>
      </c>
      <c r="AQ29" s="142">
        <f t="shared" si="52"/>
        <v>0</v>
      </c>
      <c r="AR29" s="142">
        <f t="shared" si="52"/>
        <v>0</v>
      </c>
      <c r="AS29" s="142">
        <f t="shared" si="52"/>
        <v>0</v>
      </c>
      <c r="AT29" s="142">
        <f t="shared" si="52"/>
        <v>0</v>
      </c>
      <c r="AU29" s="142">
        <f t="shared" si="52"/>
        <v>0</v>
      </c>
      <c r="AV29" s="142">
        <f t="shared" si="52"/>
        <v>0</v>
      </c>
      <c r="AW29" s="142">
        <f t="shared" si="52"/>
        <v>0</v>
      </c>
      <c r="AX29" s="142">
        <f t="shared" si="52"/>
        <v>0</v>
      </c>
      <c r="AY29" s="142">
        <f t="shared" si="52"/>
        <v>0</v>
      </c>
      <c r="AZ29" s="142">
        <f t="shared" si="52"/>
        <v>0</v>
      </c>
      <c r="BA29" s="142">
        <f t="shared" si="52"/>
        <v>0</v>
      </c>
      <c r="BB29" s="142">
        <f t="shared" si="52"/>
        <v>0</v>
      </c>
      <c r="BC29" s="142">
        <f t="shared" si="52"/>
        <v>0</v>
      </c>
      <c r="BD29" s="142">
        <f t="shared" si="52"/>
        <v>0</v>
      </c>
      <c r="BE29" s="142">
        <f t="shared" si="52"/>
        <v>0</v>
      </c>
      <c r="BF29" s="142">
        <f t="shared" si="52"/>
        <v>0</v>
      </c>
      <c r="BG29" s="142">
        <f t="shared" si="52"/>
        <v>0</v>
      </c>
      <c r="BH29" s="142">
        <f t="shared" si="52"/>
        <v>0</v>
      </c>
      <c r="BI29" s="142">
        <f t="shared" si="52"/>
        <v>0</v>
      </c>
      <c r="BJ29" s="142">
        <f t="shared" si="52"/>
        <v>0</v>
      </c>
      <c r="BK29" s="142">
        <f t="shared" si="52"/>
        <v>0</v>
      </c>
      <c r="BL29" s="142">
        <f t="shared" si="52"/>
        <v>0</v>
      </c>
      <c r="BM29" s="142">
        <f t="shared" si="52"/>
        <v>0</v>
      </c>
      <c r="BN29" s="142">
        <f t="shared" si="52"/>
        <v>0</v>
      </c>
      <c r="BO29" s="142">
        <f t="shared" si="52"/>
        <v>0</v>
      </c>
      <c r="BP29" s="142">
        <f t="shared" si="52"/>
        <v>0</v>
      </c>
      <c r="BQ29" s="142">
        <f t="shared" si="52"/>
        <v>0</v>
      </c>
      <c r="BR29" s="142">
        <f t="shared" si="52"/>
        <v>0</v>
      </c>
      <c r="BS29" s="142">
        <f t="shared" si="52"/>
        <v>0</v>
      </c>
      <c r="BT29" s="142">
        <f t="shared" si="52"/>
        <v>0</v>
      </c>
      <c r="BU29" s="142">
        <f t="shared" si="52"/>
        <v>0</v>
      </c>
      <c r="BV29" s="142">
        <f t="shared" si="52"/>
        <v>0</v>
      </c>
      <c r="BW29" s="142">
        <f t="shared" si="52"/>
        <v>0</v>
      </c>
      <c r="BX29" s="142">
        <f t="shared" si="52"/>
        <v>0</v>
      </c>
      <c r="BY29" s="142">
        <f t="shared" si="52"/>
        <v>0</v>
      </c>
      <c r="BZ29" s="142">
        <f t="shared" si="52"/>
        <v>0</v>
      </c>
      <c r="CA29" s="142">
        <f t="shared" si="52"/>
        <v>0</v>
      </c>
      <c r="CB29" s="142">
        <f t="shared" si="52"/>
        <v>0</v>
      </c>
      <c r="CC29" s="142">
        <f t="shared" si="52"/>
        <v>0</v>
      </c>
      <c r="CD29" s="142">
        <f t="shared" si="52"/>
        <v>0</v>
      </c>
      <c r="CE29" s="142">
        <f t="shared" si="52"/>
        <v>0</v>
      </c>
      <c r="CF29" s="142">
        <f t="shared" si="52"/>
        <v>0</v>
      </c>
      <c r="CG29" s="128">
        <f t="shared" si="52"/>
        <v>0</v>
      </c>
      <c r="CH29" s="128">
        <f t="shared" si="52"/>
        <v>0</v>
      </c>
      <c r="CI29" s="128">
        <f t="shared" si="52"/>
        <v>0</v>
      </c>
      <c r="CJ29" s="128">
        <f t="shared" si="52"/>
        <v>0</v>
      </c>
      <c r="CK29" s="128">
        <f t="shared" si="52"/>
        <v>0</v>
      </c>
      <c r="CL29" s="128">
        <f t="shared" si="52"/>
        <v>0</v>
      </c>
      <c r="CM29" s="128">
        <f t="shared" si="52"/>
        <v>0</v>
      </c>
      <c r="CN29" s="128">
        <f t="shared" si="52"/>
        <v>0</v>
      </c>
      <c r="CO29" s="128">
        <f t="shared" si="52"/>
        <v>0</v>
      </c>
      <c r="CP29" s="128">
        <f t="shared" si="52"/>
        <v>0</v>
      </c>
      <c r="CQ29" s="128">
        <f t="shared" si="52"/>
        <v>0</v>
      </c>
      <c r="CR29" s="128">
        <f t="shared" si="52"/>
        <v>0</v>
      </c>
      <c r="CS29" s="128">
        <f t="shared" si="52"/>
        <v>0</v>
      </c>
      <c r="CT29" s="128">
        <f t="shared" si="52"/>
        <v>0</v>
      </c>
      <c r="CU29" s="128">
        <f t="shared" si="52"/>
        <v>0</v>
      </c>
      <c r="CV29" s="128">
        <f t="shared" si="52"/>
        <v>0</v>
      </c>
      <c r="CW29" s="128">
        <f t="shared" si="52"/>
        <v>0</v>
      </c>
      <c r="CX29" s="128">
        <f t="shared" si="52"/>
        <v>0</v>
      </c>
      <c r="CY29" s="128">
        <f t="shared" si="52"/>
        <v>0</v>
      </c>
      <c r="CZ29" s="128">
        <f t="shared" si="52"/>
        <v>0</v>
      </c>
      <c r="DA29" s="128">
        <f t="shared" si="52"/>
        <v>0</v>
      </c>
      <c r="DB29" s="128">
        <f t="shared" si="52"/>
        <v>0</v>
      </c>
      <c r="DC29" s="128">
        <f t="shared" si="52"/>
        <v>0</v>
      </c>
      <c r="DD29" s="128">
        <f t="shared" si="52"/>
        <v>0</v>
      </c>
      <c r="DE29" s="128">
        <f t="shared" si="52"/>
        <v>0</v>
      </c>
      <c r="DF29" s="128">
        <f t="shared" si="52"/>
        <v>0</v>
      </c>
      <c r="DG29" s="128">
        <f t="shared" si="52"/>
        <v>0</v>
      </c>
      <c r="DH29" s="128">
        <f t="shared" si="52"/>
        <v>0</v>
      </c>
      <c r="DI29" s="128">
        <f t="shared" si="52"/>
        <v>0</v>
      </c>
      <c r="DJ29" s="128">
        <f t="shared" si="52"/>
        <v>0</v>
      </c>
      <c r="DK29" s="128">
        <f t="shared" si="52"/>
        <v>0</v>
      </c>
      <c r="DL29" s="128">
        <f t="shared" si="52"/>
        <v>0</v>
      </c>
      <c r="DM29" s="128">
        <f t="shared" si="52"/>
        <v>0</v>
      </c>
      <c r="DN29" s="128">
        <f t="shared" si="52"/>
        <v>0</v>
      </c>
      <c r="DO29" s="128">
        <f t="shared" si="52"/>
        <v>0</v>
      </c>
      <c r="DP29" s="128">
        <f t="shared" si="52"/>
        <v>0</v>
      </c>
      <c r="DQ29" s="128">
        <f t="shared" si="52"/>
        <v>0</v>
      </c>
      <c r="DR29" s="128">
        <f t="shared" si="52"/>
        <v>0</v>
      </c>
      <c r="DS29" s="128">
        <f t="shared" si="52"/>
        <v>0</v>
      </c>
      <c r="DT29" s="128">
        <f t="shared" si="52"/>
        <v>0</v>
      </c>
      <c r="DU29" s="128">
        <f t="shared" si="52"/>
        <v>0</v>
      </c>
      <c r="DV29" s="128">
        <f t="shared" si="52"/>
        <v>0</v>
      </c>
      <c r="DW29" s="128">
        <f t="shared" si="52"/>
        <v>0</v>
      </c>
      <c r="DX29" s="128">
        <f t="shared" si="52"/>
        <v>0</v>
      </c>
      <c r="DY29" s="128">
        <f t="shared" si="52"/>
        <v>0</v>
      </c>
      <c r="DZ29" s="128">
        <f t="shared" si="52"/>
        <v>0</v>
      </c>
      <c r="EA29" s="128">
        <f t="shared" si="52"/>
        <v>0</v>
      </c>
      <c r="EB29" s="128"/>
      <c r="EC29" s="128">
        <f t="shared" si="52"/>
        <v>0</v>
      </c>
      <c r="ED29" s="128">
        <f t="shared" si="52"/>
        <v>0</v>
      </c>
      <c r="EE29" s="128">
        <f t="shared" si="52"/>
        <v>0</v>
      </c>
      <c r="EF29" s="16">
        <f t="shared" si="52"/>
        <v>0</v>
      </c>
      <c r="EG29" s="16">
        <f t="shared" si="52"/>
        <v>0</v>
      </c>
      <c r="EH29" s="16">
        <f t="shared" si="52"/>
        <v>0</v>
      </c>
      <c r="EI29" s="149">
        <f t="shared" ref="EI29:EI47" si="53">SUM(G29:EH29)</f>
        <v>0</v>
      </c>
      <c r="EJ29" s="131">
        <f>EI29*$B$6</f>
        <v>0</v>
      </c>
    </row>
    <row r="30" spans="1:210" ht="15.6">
      <c r="A30" s="15" t="s">
        <v>141</v>
      </c>
      <c r="B30" s="152">
        <v>2</v>
      </c>
      <c r="C30" s="156" t="s">
        <v>79</v>
      </c>
      <c r="D30" s="797" t="str">
        <f>IF(C30="לחמניית צליאק","2ל-1","1ל-1")</f>
        <v>2ל-1</v>
      </c>
      <c r="E30" s="797"/>
      <c r="F30" s="153" t="str">
        <f>IF(C30="לחמניית צליאק","2","1")</f>
        <v>2</v>
      </c>
      <c r="G30" s="142">
        <f t="shared" ref="G30:U30" si="54">ROUNDUP($F30*G7,0)</f>
        <v>0</v>
      </c>
      <c r="H30" s="142">
        <f t="shared" si="54"/>
        <v>0</v>
      </c>
      <c r="I30" s="142">
        <f t="shared" si="54"/>
        <v>0</v>
      </c>
      <c r="J30" s="142">
        <f t="shared" si="54"/>
        <v>0</v>
      </c>
      <c r="K30" s="142">
        <f t="shared" si="54"/>
        <v>0</v>
      </c>
      <c r="L30" s="142">
        <f t="shared" si="54"/>
        <v>0</v>
      </c>
      <c r="M30" s="142">
        <f t="shared" si="54"/>
        <v>0</v>
      </c>
      <c r="N30" s="142">
        <f t="shared" si="54"/>
        <v>0</v>
      </c>
      <c r="O30" s="142">
        <f t="shared" si="54"/>
        <v>0</v>
      </c>
      <c r="P30" s="142">
        <f t="shared" si="54"/>
        <v>0</v>
      </c>
      <c r="Q30" s="142">
        <f t="shared" si="54"/>
        <v>0</v>
      </c>
      <c r="R30" s="142">
        <f t="shared" si="54"/>
        <v>0</v>
      </c>
      <c r="S30" s="142">
        <f t="shared" si="54"/>
        <v>0</v>
      </c>
      <c r="T30" s="142">
        <f t="shared" si="54"/>
        <v>0</v>
      </c>
      <c r="U30" s="142">
        <f t="shared" si="54"/>
        <v>0</v>
      </c>
      <c r="V30" s="142">
        <f t="shared" ref="V30:AZ30" si="55">ROUNDUP($F30*V7,0)</f>
        <v>0</v>
      </c>
      <c r="W30" s="142">
        <f t="shared" si="55"/>
        <v>0</v>
      </c>
      <c r="X30" s="142">
        <f t="shared" si="55"/>
        <v>0</v>
      </c>
      <c r="Y30" s="142">
        <f t="shared" si="55"/>
        <v>0</v>
      </c>
      <c r="Z30" s="142">
        <f t="shared" si="55"/>
        <v>0</v>
      </c>
      <c r="AA30" s="142">
        <f t="shared" si="55"/>
        <v>0</v>
      </c>
      <c r="AB30" s="142">
        <f t="shared" si="55"/>
        <v>0</v>
      </c>
      <c r="AC30" s="142">
        <f>ROUNDUP($F30*AC7,0)</f>
        <v>0</v>
      </c>
      <c r="AD30" s="142">
        <f t="shared" si="55"/>
        <v>0</v>
      </c>
      <c r="AE30" s="142">
        <f t="shared" si="55"/>
        <v>0</v>
      </c>
      <c r="AF30" s="142">
        <f t="shared" si="55"/>
        <v>0</v>
      </c>
      <c r="AG30" s="142">
        <f t="shared" si="55"/>
        <v>0</v>
      </c>
      <c r="AH30" s="142">
        <f t="shared" si="55"/>
        <v>0</v>
      </c>
      <c r="AI30" s="142">
        <f>ROUNDUP($F30*AI7,0)</f>
        <v>0</v>
      </c>
      <c r="AJ30" s="142">
        <f t="shared" si="55"/>
        <v>0</v>
      </c>
      <c r="AK30" s="142">
        <f t="shared" si="55"/>
        <v>0</v>
      </c>
      <c r="AL30" s="142">
        <f t="shared" si="55"/>
        <v>0</v>
      </c>
      <c r="AM30" s="142">
        <f t="shared" si="55"/>
        <v>0</v>
      </c>
      <c r="AN30" s="142">
        <f t="shared" si="55"/>
        <v>0</v>
      </c>
      <c r="AO30" s="142">
        <f t="shared" si="55"/>
        <v>0</v>
      </c>
      <c r="AP30" s="142">
        <f t="shared" si="55"/>
        <v>0</v>
      </c>
      <c r="AQ30" s="142">
        <f t="shared" si="55"/>
        <v>0</v>
      </c>
      <c r="AR30" s="142">
        <f t="shared" si="55"/>
        <v>0</v>
      </c>
      <c r="AS30" s="142">
        <f t="shared" si="55"/>
        <v>0</v>
      </c>
      <c r="AT30" s="142">
        <f t="shared" si="55"/>
        <v>0</v>
      </c>
      <c r="AU30" s="142">
        <f t="shared" si="55"/>
        <v>0</v>
      </c>
      <c r="AV30" s="142">
        <f>ROUNDUP($F30*AV7,0)</f>
        <v>0</v>
      </c>
      <c r="AW30" s="142">
        <f t="shared" si="55"/>
        <v>0</v>
      </c>
      <c r="AX30" s="142">
        <f t="shared" si="55"/>
        <v>0</v>
      </c>
      <c r="AY30" s="142">
        <f t="shared" si="55"/>
        <v>0</v>
      </c>
      <c r="AZ30" s="142">
        <f t="shared" si="55"/>
        <v>0</v>
      </c>
      <c r="BA30" s="142">
        <f t="shared" ref="BA30:EH30" si="56">ROUNDUP($F30*BA7,0)</f>
        <v>0</v>
      </c>
      <c r="BB30" s="142">
        <f t="shared" si="56"/>
        <v>0</v>
      </c>
      <c r="BC30" s="142">
        <f t="shared" si="56"/>
        <v>0</v>
      </c>
      <c r="BD30" s="142">
        <f t="shared" si="56"/>
        <v>0</v>
      </c>
      <c r="BE30" s="142">
        <f t="shared" si="56"/>
        <v>0</v>
      </c>
      <c r="BF30" s="142">
        <f t="shared" si="56"/>
        <v>0</v>
      </c>
      <c r="BG30" s="142">
        <f t="shared" ref="BG30:BS30" si="57">ROUNDUP($F30*BG7,0)</f>
        <v>0</v>
      </c>
      <c r="BH30" s="142">
        <f t="shared" si="57"/>
        <v>0</v>
      </c>
      <c r="BI30" s="142">
        <f t="shared" si="57"/>
        <v>0</v>
      </c>
      <c r="BJ30" s="142">
        <f t="shared" si="57"/>
        <v>0</v>
      </c>
      <c r="BK30" s="142">
        <f t="shared" si="57"/>
        <v>0</v>
      </c>
      <c r="BL30" s="142">
        <f t="shared" si="57"/>
        <v>0</v>
      </c>
      <c r="BM30" s="142">
        <f t="shared" si="57"/>
        <v>0</v>
      </c>
      <c r="BN30" s="142">
        <f t="shared" si="57"/>
        <v>0</v>
      </c>
      <c r="BO30" s="142">
        <f t="shared" si="57"/>
        <v>0</v>
      </c>
      <c r="BP30" s="142">
        <f t="shared" si="57"/>
        <v>0</v>
      </c>
      <c r="BQ30" s="142">
        <f t="shared" si="57"/>
        <v>0</v>
      </c>
      <c r="BR30" s="142">
        <f t="shared" si="57"/>
        <v>0</v>
      </c>
      <c r="BS30" s="142">
        <f t="shared" si="57"/>
        <v>0</v>
      </c>
      <c r="BT30" s="142">
        <f t="shared" si="56"/>
        <v>0</v>
      </c>
      <c r="BU30" s="142">
        <f t="shared" si="56"/>
        <v>0</v>
      </c>
      <c r="BV30" s="142">
        <f t="shared" si="56"/>
        <v>0</v>
      </c>
      <c r="BW30" s="142">
        <f t="shared" si="56"/>
        <v>0</v>
      </c>
      <c r="BX30" s="142">
        <f t="shared" si="56"/>
        <v>0</v>
      </c>
      <c r="BY30" s="142">
        <f>ROUNDUP($F30*BY7,0)</f>
        <v>0</v>
      </c>
      <c r="BZ30" s="142">
        <f>ROUNDUP($F30*BZ7,0)</f>
        <v>0</v>
      </c>
      <c r="CA30" s="142">
        <f t="shared" si="56"/>
        <v>0</v>
      </c>
      <c r="CB30" s="142">
        <f t="shared" si="56"/>
        <v>0</v>
      </c>
      <c r="CC30" s="142">
        <f t="shared" si="56"/>
        <v>0</v>
      </c>
      <c r="CD30" s="142">
        <f t="shared" si="56"/>
        <v>0</v>
      </c>
      <c r="CE30" s="142">
        <f>ROUNDUP($F30*CE7,0)</f>
        <v>0</v>
      </c>
      <c r="CF30" s="142">
        <f t="shared" si="56"/>
        <v>0</v>
      </c>
      <c r="CG30" s="128">
        <f t="shared" si="56"/>
        <v>0</v>
      </c>
      <c r="CH30" s="128">
        <f t="shared" si="56"/>
        <v>0</v>
      </c>
      <c r="CI30" s="128">
        <f t="shared" si="56"/>
        <v>0</v>
      </c>
      <c r="CJ30" s="128">
        <f t="shared" si="56"/>
        <v>0</v>
      </c>
      <c r="CK30" s="128">
        <f t="shared" si="56"/>
        <v>0</v>
      </c>
      <c r="CL30" s="128">
        <f t="shared" si="56"/>
        <v>0</v>
      </c>
      <c r="CM30" s="128">
        <f t="shared" si="56"/>
        <v>0</v>
      </c>
      <c r="CN30" s="128">
        <f t="shared" si="56"/>
        <v>0</v>
      </c>
      <c r="CO30" s="128">
        <f t="shared" si="56"/>
        <v>0</v>
      </c>
      <c r="CP30" s="128">
        <f t="shared" si="56"/>
        <v>0</v>
      </c>
      <c r="CQ30" s="128">
        <f t="shared" si="56"/>
        <v>0</v>
      </c>
      <c r="CR30" s="128">
        <f t="shared" si="56"/>
        <v>0</v>
      </c>
      <c r="CS30" s="128">
        <f t="shared" ref="CS30:DG30" si="58">ROUNDUP($F30*CS7,0)</f>
        <v>0</v>
      </c>
      <c r="CT30" s="128">
        <f t="shared" si="58"/>
        <v>0</v>
      </c>
      <c r="CU30" s="128">
        <f t="shared" si="58"/>
        <v>0</v>
      </c>
      <c r="CV30" s="128">
        <f t="shared" si="58"/>
        <v>0</v>
      </c>
      <c r="CW30" s="128">
        <f t="shared" si="58"/>
        <v>0</v>
      </c>
      <c r="CX30" s="128">
        <f t="shared" si="58"/>
        <v>0</v>
      </c>
      <c r="CY30" s="128">
        <f t="shared" si="58"/>
        <v>0</v>
      </c>
      <c r="CZ30" s="128">
        <f t="shared" si="58"/>
        <v>0</v>
      </c>
      <c r="DA30" s="128">
        <f t="shared" si="58"/>
        <v>0</v>
      </c>
      <c r="DB30" s="128">
        <f t="shared" si="58"/>
        <v>0</v>
      </c>
      <c r="DC30" s="128">
        <f t="shared" si="58"/>
        <v>0</v>
      </c>
      <c r="DD30" s="128">
        <f t="shared" si="58"/>
        <v>0</v>
      </c>
      <c r="DE30" s="128">
        <f t="shared" si="58"/>
        <v>0</v>
      </c>
      <c r="DF30" s="128">
        <f t="shared" si="58"/>
        <v>0</v>
      </c>
      <c r="DG30" s="128">
        <f t="shared" si="58"/>
        <v>0</v>
      </c>
      <c r="DH30" s="128">
        <f t="shared" si="56"/>
        <v>0</v>
      </c>
      <c r="DI30" s="128">
        <f t="shared" si="56"/>
        <v>0</v>
      </c>
      <c r="DJ30" s="128">
        <f t="shared" si="56"/>
        <v>0</v>
      </c>
      <c r="DK30" s="128">
        <f t="shared" si="56"/>
        <v>0</v>
      </c>
      <c r="DL30" s="128">
        <f t="shared" si="56"/>
        <v>0</v>
      </c>
      <c r="DM30" s="128">
        <f t="shared" si="56"/>
        <v>0</v>
      </c>
      <c r="DN30" s="128">
        <f t="shared" si="56"/>
        <v>0</v>
      </c>
      <c r="DO30" s="128">
        <f t="shared" si="56"/>
        <v>0</v>
      </c>
      <c r="DP30" s="128">
        <f t="shared" si="56"/>
        <v>0</v>
      </c>
      <c r="DQ30" s="128">
        <f t="shared" si="56"/>
        <v>0</v>
      </c>
      <c r="DR30" s="128">
        <f t="shared" si="56"/>
        <v>0</v>
      </c>
      <c r="DS30" s="128">
        <f t="shared" si="56"/>
        <v>0</v>
      </c>
      <c r="DT30" s="128">
        <f t="shared" si="56"/>
        <v>0</v>
      </c>
      <c r="DU30" s="128">
        <f t="shared" si="56"/>
        <v>0</v>
      </c>
      <c r="DV30" s="128">
        <f t="shared" si="56"/>
        <v>0</v>
      </c>
      <c r="DW30" s="128">
        <f t="shared" si="56"/>
        <v>0</v>
      </c>
      <c r="DX30" s="128">
        <f t="shared" si="56"/>
        <v>0</v>
      </c>
      <c r="DY30" s="128">
        <f t="shared" si="56"/>
        <v>0</v>
      </c>
      <c r="DZ30" s="128">
        <f t="shared" si="56"/>
        <v>0</v>
      </c>
      <c r="EA30" s="128">
        <f t="shared" si="56"/>
        <v>0</v>
      </c>
      <c r="EB30" s="128"/>
      <c r="EC30" s="128">
        <f>ROUNDUP($F30*EC7,0)</f>
        <v>0</v>
      </c>
      <c r="ED30" s="128">
        <f t="shared" si="56"/>
        <v>0</v>
      </c>
      <c r="EE30" s="128">
        <f t="shared" si="56"/>
        <v>0</v>
      </c>
      <c r="EF30" s="16">
        <f t="shared" si="56"/>
        <v>0</v>
      </c>
      <c r="EG30" s="16">
        <f t="shared" si="56"/>
        <v>0</v>
      </c>
      <c r="EH30" s="16">
        <f t="shared" si="56"/>
        <v>0</v>
      </c>
      <c r="EI30" s="149">
        <f t="shared" si="53"/>
        <v>0</v>
      </c>
      <c r="EJ30" s="132">
        <f>EI30*$B$5</f>
        <v>0</v>
      </c>
    </row>
    <row r="31" spans="1:210" ht="15.6">
      <c r="A31" s="15" t="s">
        <v>141</v>
      </c>
      <c r="B31" s="152">
        <v>3</v>
      </c>
      <c r="C31" s="14" t="s">
        <v>158</v>
      </c>
      <c r="D31" s="796" t="s">
        <v>157</v>
      </c>
      <c r="E31" s="796"/>
      <c r="F31" s="153">
        <f>1/15</f>
        <v>6.6666666666666666E-2</v>
      </c>
      <c r="G31" s="142">
        <f t="shared" ref="G31:U31" si="59">ROUNDUP($F31*G$4,0)</f>
        <v>0</v>
      </c>
      <c r="H31" s="142">
        <f t="shared" si="59"/>
        <v>0</v>
      </c>
      <c r="I31" s="142">
        <f t="shared" si="59"/>
        <v>0</v>
      </c>
      <c r="J31" s="142">
        <f t="shared" si="59"/>
        <v>0</v>
      </c>
      <c r="K31" s="142">
        <f t="shared" si="59"/>
        <v>0</v>
      </c>
      <c r="L31" s="142">
        <f t="shared" si="59"/>
        <v>0</v>
      </c>
      <c r="M31" s="142">
        <f t="shared" si="59"/>
        <v>0</v>
      </c>
      <c r="N31" s="142">
        <f t="shared" si="59"/>
        <v>0</v>
      </c>
      <c r="O31" s="142">
        <f t="shared" si="59"/>
        <v>0</v>
      </c>
      <c r="P31" s="142">
        <f t="shared" si="59"/>
        <v>0</v>
      </c>
      <c r="Q31" s="142">
        <f t="shared" si="59"/>
        <v>0</v>
      </c>
      <c r="R31" s="142">
        <f t="shared" si="59"/>
        <v>0</v>
      </c>
      <c r="S31" s="142">
        <f t="shared" si="59"/>
        <v>0</v>
      </c>
      <c r="T31" s="142">
        <f t="shared" si="59"/>
        <v>0</v>
      </c>
      <c r="U31" s="142">
        <f t="shared" si="59"/>
        <v>0</v>
      </c>
      <c r="V31" s="142">
        <f t="shared" ref="V31:EH31" si="60">ROUNDUP($F31*V$4,0)</f>
        <v>0</v>
      </c>
      <c r="W31" s="142">
        <f t="shared" si="60"/>
        <v>0</v>
      </c>
      <c r="X31" s="142">
        <f t="shared" si="60"/>
        <v>0</v>
      </c>
      <c r="Y31" s="142">
        <f t="shared" si="60"/>
        <v>0</v>
      </c>
      <c r="Z31" s="142">
        <f t="shared" si="60"/>
        <v>0</v>
      </c>
      <c r="AA31" s="142">
        <f t="shared" si="60"/>
        <v>0</v>
      </c>
      <c r="AB31" s="142">
        <f t="shared" si="60"/>
        <v>0</v>
      </c>
      <c r="AC31" s="142">
        <f t="shared" si="60"/>
        <v>0</v>
      </c>
      <c r="AD31" s="142">
        <f t="shared" si="60"/>
        <v>0</v>
      </c>
      <c r="AE31" s="142">
        <f t="shared" si="60"/>
        <v>0</v>
      </c>
      <c r="AF31" s="142">
        <f t="shared" si="60"/>
        <v>0</v>
      </c>
      <c r="AG31" s="142">
        <f t="shared" si="60"/>
        <v>0</v>
      </c>
      <c r="AH31" s="142">
        <f t="shared" si="60"/>
        <v>0</v>
      </c>
      <c r="AI31" s="142">
        <f t="shared" si="60"/>
        <v>0</v>
      </c>
      <c r="AJ31" s="142">
        <f t="shared" si="60"/>
        <v>0</v>
      </c>
      <c r="AK31" s="142">
        <f t="shared" si="60"/>
        <v>0</v>
      </c>
      <c r="AL31" s="142">
        <f t="shared" si="60"/>
        <v>0</v>
      </c>
      <c r="AM31" s="142">
        <f t="shared" si="60"/>
        <v>0</v>
      </c>
      <c r="AN31" s="142">
        <f t="shared" si="60"/>
        <v>0</v>
      </c>
      <c r="AO31" s="142">
        <f t="shared" si="60"/>
        <v>0</v>
      </c>
      <c r="AP31" s="142">
        <f t="shared" si="60"/>
        <v>0</v>
      </c>
      <c r="AQ31" s="142">
        <f t="shared" si="60"/>
        <v>0</v>
      </c>
      <c r="AR31" s="142">
        <f t="shared" si="60"/>
        <v>0</v>
      </c>
      <c r="AS31" s="142">
        <f t="shared" si="60"/>
        <v>0</v>
      </c>
      <c r="AT31" s="142">
        <f t="shared" si="60"/>
        <v>0</v>
      </c>
      <c r="AU31" s="142">
        <f t="shared" si="60"/>
        <v>0</v>
      </c>
      <c r="AV31" s="142">
        <f t="shared" si="60"/>
        <v>0</v>
      </c>
      <c r="AW31" s="142">
        <f t="shared" si="60"/>
        <v>0</v>
      </c>
      <c r="AX31" s="142">
        <f t="shared" si="60"/>
        <v>0</v>
      </c>
      <c r="AY31" s="142">
        <f t="shared" si="60"/>
        <v>0</v>
      </c>
      <c r="AZ31" s="142">
        <f t="shared" si="60"/>
        <v>0</v>
      </c>
      <c r="BA31" s="142">
        <f t="shared" si="60"/>
        <v>0</v>
      </c>
      <c r="BB31" s="142">
        <f t="shared" si="60"/>
        <v>0</v>
      </c>
      <c r="BC31" s="142">
        <f t="shared" si="60"/>
        <v>0</v>
      </c>
      <c r="BD31" s="142">
        <f t="shared" si="60"/>
        <v>0</v>
      </c>
      <c r="BE31" s="142">
        <f t="shared" si="60"/>
        <v>0</v>
      </c>
      <c r="BF31" s="142">
        <f t="shared" si="60"/>
        <v>0</v>
      </c>
      <c r="BG31" s="142">
        <f t="shared" si="60"/>
        <v>0</v>
      </c>
      <c r="BH31" s="142">
        <f t="shared" si="60"/>
        <v>0</v>
      </c>
      <c r="BI31" s="142">
        <f t="shared" si="60"/>
        <v>0</v>
      </c>
      <c r="BJ31" s="142">
        <f t="shared" si="60"/>
        <v>0</v>
      </c>
      <c r="BK31" s="142">
        <f t="shared" si="60"/>
        <v>0</v>
      </c>
      <c r="BL31" s="142">
        <f t="shared" si="60"/>
        <v>0</v>
      </c>
      <c r="BM31" s="142">
        <f t="shared" si="60"/>
        <v>0</v>
      </c>
      <c r="BN31" s="142">
        <f t="shared" si="60"/>
        <v>0</v>
      </c>
      <c r="BO31" s="142">
        <f t="shared" si="60"/>
        <v>0</v>
      </c>
      <c r="BP31" s="142">
        <f t="shared" si="60"/>
        <v>0</v>
      </c>
      <c r="BQ31" s="142">
        <f t="shared" si="60"/>
        <v>0</v>
      </c>
      <c r="BR31" s="142">
        <f t="shared" si="60"/>
        <v>0</v>
      </c>
      <c r="BS31" s="142">
        <f t="shared" si="60"/>
        <v>0</v>
      </c>
      <c r="BT31" s="142">
        <f t="shared" si="60"/>
        <v>0</v>
      </c>
      <c r="BU31" s="142">
        <f t="shared" si="60"/>
        <v>0</v>
      </c>
      <c r="BV31" s="142">
        <f t="shared" si="60"/>
        <v>0</v>
      </c>
      <c r="BW31" s="142">
        <f t="shared" si="60"/>
        <v>0</v>
      </c>
      <c r="BX31" s="142">
        <f t="shared" si="60"/>
        <v>0</v>
      </c>
      <c r="BY31" s="142">
        <f t="shared" si="60"/>
        <v>0</v>
      </c>
      <c r="BZ31" s="142">
        <f t="shared" si="60"/>
        <v>0</v>
      </c>
      <c r="CA31" s="142">
        <f t="shared" si="60"/>
        <v>0</v>
      </c>
      <c r="CB31" s="142">
        <f t="shared" si="60"/>
        <v>0</v>
      </c>
      <c r="CC31" s="142">
        <f t="shared" si="60"/>
        <v>0</v>
      </c>
      <c r="CD31" s="142">
        <f t="shared" si="60"/>
        <v>0</v>
      </c>
      <c r="CE31" s="142">
        <f t="shared" si="60"/>
        <v>0</v>
      </c>
      <c r="CF31" s="142">
        <f t="shared" si="60"/>
        <v>0</v>
      </c>
      <c r="CG31" s="128">
        <f t="shared" si="60"/>
        <v>0</v>
      </c>
      <c r="CH31" s="128">
        <f t="shared" si="60"/>
        <v>0</v>
      </c>
      <c r="CI31" s="128">
        <f t="shared" si="60"/>
        <v>0</v>
      </c>
      <c r="CJ31" s="128">
        <f t="shared" si="60"/>
        <v>0</v>
      </c>
      <c r="CK31" s="128">
        <f t="shared" si="60"/>
        <v>0</v>
      </c>
      <c r="CL31" s="128">
        <f t="shared" si="60"/>
        <v>0</v>
      </c>
      <c r="CM31" s="128">
        <f t="shared" si="60"/>
        <v>0</v>
      </c>
      <c r="CN31" s="128">
        <f t="shared" si="60"/>
        <v>0</v>
      </c>
      <c r="CO31" s="128">
        <f t="shared" si="60"/>
        <v>0</v>
      </c>
      <c r="CP31" s="128">
        <f t="shared" si="60"/>
        <v>0</v>
      </c>
      <c r="CQ31" s="128">
        <f t="shared" si="60"/>
        <v>0</v>
      </c>
      <c r="CR31" s="128">
        <f t="shared" si="60"/>
        <v>0</v>
      </c>
      <c r="CS31" s="128">
        <f t="shared" si="60"/>
        <v>0</v>
      </c>
      <c r="CT31" s="128">
        <f t="shared" si="60"/>
        <v>0</v>
      </c>
      <c r="CU31" s="128">
        <f t="shared" si="60"/>
        <v>0</v>
      </c>
      <c r="CV31" s="128">
        <f t="shared" si="60"/>
        <v>0</v>
      </c>
      <c r="CW31" s="128">
        <f t="shared" si="60"/>
        <v>0</v>
      </c>
      <c r="CX31" s="128">
        <f t="shared" si="60"/>
        <v>0</v>
      </c>
      <c r="CY31" s="128">
        <f t="shared" si="60"/>
        <v>0</v>
      </c>
      <c r="CZ31" s="128">
        <f t="shared" si="60"/>
        <v>0</v>
      </c>
      <c r="DA31" s="128">
        <f t="shared" si="60"/>
        <v>0</v>
      </c>
      <c r="DB31" s="128">
        <f t="shared" si="60"/>
        <v>0</v>
      </c>
      <c r="DC31" s="128">
        <f t="shared" si="60"/>
        <v>0</v>
      </c>
      <c r="DD31" s="128">
        <f t="shared" si="60"/>
        <v>0</v>
      </c>
      <c r="DE31" s="128">
        <f t="shared" si="60"/>
        <v>0</v>
      </c>
      <c r="DF31" s="128">
        <f t="shared" si="60"/>
        <v>0</v>
      </c>
      <c r="DG31" s="128">
        <f t="shared" si="60"/>
        <v>0</v>
      </c>
      <c r="DH31" s="128">
        <f t="shared" si="60"/>
        <v>0</v>
      </c>
      <c r="DI31" s="128">
        <f t="shared" si="60"/>
        <v>0</v>
      </c>
      <c r="DJ31" s="128">
        <f t="shared" si="60"/>
        <v>0</v>
      </c>
      <c r="DK31" s="128">
        <f t="shared" si="60"/>
        <v>0</v>
      </c>
      <c r="DL31" s="128">
        <f t="shared" si="60"/>
        <v>0</v>
      </c>
      <c r="DM31" s="128">
        <f t="shared" si="60"/>
        <v>0</v>
      </c>
      <c r="DN31" s="128">
        <f t="shared" si="60"/>
        <v>0</v>
      </c>
      <c r="DO31" s="128">
        <f t="shared" si="60"/>
        <v>0</v>
      </c>
      <c r="DP31" s="128">
        <f t="shared" si="60"/>
        <v>0</v>
      </c>
      <c r="DQ31" s="128">
        <f t="shared" si="60"/>
        <v>0</v>
      </c>
      <c r="DR31" s="128">
        <f t="shared" si="60"/>
        <v>0</v>
      </c>
      <c r="DS31" s="128">
        <f t="shared" si="60"/>
        <v>0</v>
      </c>
      <c r="DT31" s="128">
        <f t="shared" si="60"/>
        <v>0</v>
      </c>
      <c r="DU31" s="128">
        <f t="shared" si="60"/>
        <v>0</v>
      </c>
      <c r="DV31" s="128">
        <f t="shared" si="60"/>
        <v>0</v>
      </c>
      <c r="DW31" s="128">
        <f t="shared" si="60"/>
        <v>0</v>
      </c>
      <c r="DX31" s="128">
        <f t="shared" si="60"/>
        <v>0</v>
      </c>
      <c r="DY31" s="128">
        <f t="shared" si="60"/>
        <v>0</v>
      </c>
      <c r="DZ31" s="128">
        <f t="shared" si="60"/>
        <v>0</v>
      </c>
      <c r="EA31" s="128">
        <f t="shared" si="60"/>
        <v>0</v>
      </c>
      <c r="EB31" s="128"/>
      <c r="EC31" s="128">
        <f t="shared" si="60"/>
        <v>0</v>
      </c>
      <c r="ED31" s="128">
        <f t="shared" si="60"/>
        <v>0</v>
      </c>
      <c r="EE31" s="128">
        <f t="shared" si="60"/>
        <v>0</v>
      </c>
      <c r="EF31" s="16">
        <f t="shared" si="60"/>
        <v>0</v>
      </c>
      <c r="EG31" s="16">
        <f t="shared" si="60"/>
        <v>0</v>
      </c>
      <c r="EH31" s="16">
        <f t="shared" si="60"/>
        <v>0</v>
      </c>
      <c r="EI31" s="149">
        <f t="shared" si="53"/>
        <v>0</v>
      </c>
      <c r="EJ31" s="132">
        <f t="shared" ref="EJ31:EJ41" si="61">EI31*$B$6</f>
        <v>0</v>
      </c>
    </row>
    <row r="32" spans="1:210" ht="15.6">
      <c r="A32" s="15" t="s">
        <v>141</v>
      </c>
      <c r="B32" s="152">
        <v>4</v>
      </c>
      <c r="C32" s="14" t="s">
        <v>442</v>
      </c>
      <c r="D32" s="796" t="s">
        <v>443</v>
      </c>
      <c r="E32" s="796"/>
      <c r="F32" s="153">
        <v>3</v>
      </c>
      <c r="G32" s="142">
        <f t="shared" ref="G32:U32" si="62">ROUNDUP($F32*G5,0)</f>
        <v>0</v>
      </c>
      <c r="H32" s="142">
        <f t="shared" si="62"/>
        <v>0</v>
      </c>
      <c r="I32" s="142">
        <f t="shared" si="62"/>
        <v>0</v>
      </c>
      <c r="J32" s="142">
        <f t="shared" si="62"/>
        <v>0</v>
      </c>
      <c r="K32" s="142">
        <f t="shared" si="62"/>
        <v>0</v>
      </c>
      <c r="L32" s="142">
        <f t="shared" si="62"/>
        <v>0</v>
      </c>
      <c r="M32" s="142">
        <f t="shared" si="62"/>
        <v>0</v>
      </c>
      <c r="N32" s="142">
        <f t="shared" si="62"/>
        <v>0</v>
      </c>
      <c r="O32" s="142">
        <f t="shared" si="62"/>
        <v>0</v>
      </c>
      <c r="P32" s="142">
        <f t="shared" si="62"/>
        <v>0</v>
      </c>
      <c r="Q32" s="142">
        <f t="shared" si="62"/>
        <v>0</v>
      </c>
      <c r="R32" s="142">
        <f t="shared" si="62"/>
        <v>0</v>
      </c>
      <c r="S32" s="142">
        <f t="shared" si="62"/>
        <v>0</v>
      </c>
      <c r="T32" s="142">
        <f t="shared" si="62"/>
        <v>0</v>
      </c>
      <c r="U32" s="142">
        <f t="shared" si="62"/>
        <v>0</v>
      </c>
      <c r="V32" s="142">
        <f t="shared" ref="V32:AZ32" si="63">ROUNDUP($F32*V5,0)</f>
        <v>0</v>
      </c>
      <c r="W32" s="142">
        <f t="shared" si="63"/>
        <v>0</v>
      </c>
      <c r="X32" s="142">
        <f t="shared" si="63"/>
        <v>0</v>
      </c>
      <c r="Y32" s="142">
        <f t="shared" si="63"/>
        <v>0</v>
      </c>
      <c r="Z32" s="142">
        <f t="shared" si="63"/>
        <v>0</v>
      </c>
      <c r="AA32" s="142">
        <f t="shared" si="63"/>
        <v>0</v>
      </c>
      <c r="AB32" s="142">
        <f t="shared" si="63"/>
        <v>0</v>
      </c>
      <c r="AC32" s="142">
        <f>ROUNDUP($F32*AC5,0)</f>
        <v>0</v>
      </c>
      <c r="AD32" s="142">
        <f t="shared" si="63"/>
        <v>0</v>
      </c>
      <c r="AE32" s="142">
        <f t="shared" si="63"/>
        <v>0</v>
      </c>
      <c r="AF32" s="142">
        <f t="shared" si="63"/>
        <v>0</v>
      </c>
      <c r="AG32" s="142">
        <f t="shared" si="63"/>
        <v>0</v>
      </c>
      <c r="AH32" s="142">
        <f t="shared" si="63"/>
        <v>0</v>
      </c>
      <c r="AI32" s="142">
        <f>ROUNDUP($F32*AI5,0)</f>
        <v>0</v>
      </c>
      <c r="AJ32" s="142">
        <f t="shared" si="63"/>
        <v>0</v>
      </c>
      <c r="AK32" s="142">
        <f t="shared" si="63"/>
        <v>0</v>
      </c>
      <c r="AL32" s="142">
        <f t="shared" si="63"/>
        <v>0</v>
      </c>
      <c r="AM32" s="142">
        <f t="shared" si="63"/>
        <v>0</v>
      </c>
      <c r="AN32" s="142">
        <f t="shared" si="63"/>
        <v>0</v>
      </c>
      <c r="AO32" s="142">
        <f t="shared" si="63"/>
        <v>0</v>
      </c>
      <c r="AP32" s="142">
        <f t="shared" si="63"/>
        <v>0</v>
      </c>
      <c r="AQ32" s="142">
        <f t="shared" si="63"/>
        <v>0</v>
      </c>
      <c r="AR32" s="142">
        <f t="shared" si="63"/>
        <v>0</v>
      </c>
      <c r="AS32" s="142">
        <f t="shared" si="63"/>
        <v>0</v>
      </c>
      <c r="AT32" s="142">
        <f t="shared" si="63"/>
        <v>0</v>
      </c>
      <c r="AU32" s="142">
        <f t="shared" si="63"/>
        <v>0</v>
      </c>
      <c r="AV32" s="142">
        <f>ROUNDUP($F32*AV5,0)</f>
        <v>0</v>
      </c>
      <c r="AW32" s="142">
        <f t="shared" si="63"/>
        <v>0</v>
      </c>
      <c r="AX32" s="142">
        <f t="shared" si="63"/>
        <v>0</v>
      </c>
      <c r="AY32" s="142">
        <f t="shared" si="63"/>
        <v>0</v>
      </c>
      <c r="AZ32" s="142">
        <f t="shared" si="63"/>
        <v>0</v>
      </c>
      <c r="BA32" s="142">
        <f t="shared" ref="BA32:EH32" si="64">ROUNDUP($F32*BA5,0)</f>
        <v>0</v>
      </c>
      <c r="BB32" s="142">
        <f t="shared" si="64"/>
        <v>0</v>
      </c>
      <c r="BC32" s="142">
        <f t="shared" si="64"/>
        <v>0</v>
      </c>
      <c r="BD32" s="142">
        <f t="shared" si="64"/>
        <v>0</v>
      </c>
      <c r="BE32" s="142">
        <f t="shared" si="64"/>
        <v>0</v>
      </c>
      <c r="BF32" s="142">
        <f t="shared" si="64"/>
        <v>0</v>
      </c>
      <c r="BG32" s="142">
        <f t="shared" ref="BG32:BS32" si="65">ROUNDUP($F32*BG5,0)</f>
        <v>0</v>
      </c>
      <c r="BH32" s="142">
        <f t="shared" si="65"/>
        <v>0</v>
      </c>
      <c r="BI32" s="142">
        <f t="shared" si="65"/>
        <v>0</v>
      </c>
      <c r="BJ32" s="142">
        <f t="shared" si="65"/>
        <v>0</v>
      </c>
      <c r="BK32" s="142">
        <f t="shared" si="65"/>
        <v>0</v>
      </c>
      <c r="BL32" s="142">
        <f t="shared" si="65"/>
        <v>0</v>
      </c>
      <c r="BM32" s="142">
        <f t="shared" si="65"/>
        <v>0</v>
      </c>
      <c r="BN32" s="142">
        <f t="shared" si="65"/>
        <v>0</v>
      </c>
      <c r="BO32" s="142">
        <f t="shared" si="65"/>
        <v>0</v>
      </c>
      <c r="BP32" s="142">
        <f t="shared" si="65"/>
        <v>0</v>
      </c>
      <c r="BQ32" s="142">
        <f t="shared" si="65"/>
        <v>0</v>
      </c>
      <c r="BR32" s="142">
        <f t="shared" si="65"/>
        <v>0</v>
      </c>
      <c r="BS32" s="142">
        <f t="shared" si="65"/>
        <v>0</v>
      </c>
      <c r="BT32" s="142">
        <f t="shared" si="64"/>
        <v>0</v>
      </c>
      <c r="BU32" s="142">
        <f t="shared" si="64"/>
        <v>0</v>
      </c>
      <c r="BV32" s="142">
        <f t="shared" si="64"/>
        <v>0</v>
      </c>
      <c r="BW32" s="142">
        <f t="shared" si="64"/>
        <v>0</v>
      </c>
      <c r="BX32" s="142">
        <f t="shared" si="64"/>
        <v>0</v>
      </c>
      <c r="BY32" s="142">
        <f>ROUNDUP($F32*BY5,0)</f>
        <v>0</v>
      </c>
      <c r="BZ32" s="142">
        <f>ROUNDUP($F32*BZ5,0)</f>
        <v>0</v>
      </c>
      <c r="CA32" s="142">
        <f t="shared" si="64"/>
        <v>0</v>
      </c>
      <c r="CB32" s="142">
        <f t="shared" si="64"/>
        <v>0</v>
      </c>
      <c r="CC32" s="142">
        <f t="shared" si="64"/>
        <v>0</v>
      </c>
      <c r="CD32" s="142">
        <f t="shared" si="64"/>
        <v>0</v>
      </c>
      <c r="CE32" s="142">
        <f>ROUNDUP($F32*CE5,0)</f>
        <v>0</v>
      </c>
      <c r="CF32" s="142">
        <f t="shared" si="64"/>
        <v>0</v>
      </c>
      <c r="CG32" s="128">
        <f t="shared" si="64"/>
        <v>0</v>
      </c>
      <c r="CH32" s="128">
        <f t="shared" si="64"/>
        <v>0</v>
      </c>
      <c r="CI32" s="128">
        <f t="shared" si="64"/>
        <v>0</v>
      </c>
      <c r="CJ32" s="128">
        <f t="shared" si="64"/>
        <v>0</v>
      </c>
      <c r="CK32" s="128">
        <f t="shared" si="64"/>
        <v>0</v>
      </c>
      <c r="CL32" s="128">
        <f t="shared" si="64"/>
        <v>0</v>
      </c>
      <c r="CM32" s="128">
        <f t="shared" si="64"/>
        <v>0</v>
      </c>
      <c r="CN32" s="128">
        <f t="shared" si="64"/>
        <v>0</v>
      </c>
      <c r="CO32" s="128">
        <f t="shared" si="64"/>
        <v>0</v>
      </c>
      <c r="CP32" s="128">
        <f t="shared" si="64"/>
        <v>0</v>
      </c>
      <c r="CQ32" s="128">
        <f t="shared" si="64"/>
        <v>0</v>
      </c>
      <c r="CR32" s="128">
        <f t="shared" si="64"/>
        <v>0</v>
      </c>
      <c r="CS32" s="128">
        <f t="shared" ref="CS32:DG32" si="66">ROUNDUP($F32*CS5,0)</f>
        <v>0</v>
      </c>
      <c r="CT32" s="128">
        <f t="shared" si="66"/>
        <v>0</v>
      </c>
      <c r="CU32" s="128">
        <f t="shared" si="66"/>
        <v>0</v>
      </c>
      <c r="CV32" s="128">
        <f t="shared" si="66"/>
        <v>0</v>
      </c>
      <c r="CW32" s="128">
        <f t="shared" si="66"/>
        <v>0</v>
      </c>
      <c r="CX32" s="128">
        <f t="shared" si="66"/>
        <v>0</v>
      </c>
      <c r="CY32" s="128">
        <f t="shared" si="66"/>
        <v>0</v>
      </c>
      <c r="CZ32" s="128">
        <f t="shared" si="66"/>
        <v>0</v>
      </c>
      <c r="DA32" s="128">
        <f t="shared" si="66"/>
        <v>0</v>
      </c>
      <c r="DB32" s="128">
        <f t="shared" si="66"/>
        <v>0</v>
      </c>
      <c r="DC32" s="128">
        <f t="shared" si="66"/>
        <v>0</v>
      </c>
      <c r="DD32" s="128">
        <f t="shared" si="66"/>
        <v>0</v>
      </c>
      <c r="DE32" s="128">
        <f t="shared" si="66"/>
        <v>0</v>
      </c>
      <c r="DF32" s="128">
        <f t="shared" si="66"/>
        <v>0</v>
      </c>
      <c r="DG32" s="128">
        <f t="shared" si="66"/>
        <v>0</v>
      </c>
      <c r="DH32" s="128">
        <f t="shared" si="64"/>
        <v>0</v>
      </c>
      <c r="DI32" s="128">
        <f t="shared" si="64"/>
        <v>0</v>
      </c>
      <c r="DJ32" s="128">
        <f t="shared" si="64"/>
        <v>0</v>
      </c>
      <c r="DK32" s="128">
        <f t="shared" si="64"/>
        <v>0</v>
      </c>
      <c r="DL32" s="128">
        <f t="shared" si="64"/>
        <v>0</v>
      </c>
      <c r="DM32" s="128">
        <f t="shared" si="64"/>
        <v>0</v>
      </c>
      <c r="DN32" s="128">
        <f t="shared" si="64"/>
        <v>0</v>
      </c>
      <c r="DO32" s="128">
        <f t="shared" si="64"/>
        <v>0</v>
      </c>
      <c r="DP32" s="128">
        <f t="shared" si="64"/>
        <v>0</v>
      </c>
      <c r="DQ32" s="128">
        <f t="shared" si="64"/>
        <v>0</v>
      </c>
      <c r="DR32" s="128">
        <f t="shared" si="64"/>
        <v>0</v>
      </c>
      <c r="DS32" s="128">
        <f t="shared" si="64"/>
        <v>0</v>
      </c>
      <c r="DT32" s="128">
        <f t="shared" si="64"/>
        <v>0</v>
      </c>
      <c r="DU32" s="128">
        <f t="shared" si="64"/>
        <v>0</v>
      </c>
      <c r="DV32" s="128">
        <f t="shared" si="64"/>
        <v>0</v>
      </c>
      <c r="DW32" s="128">
        <f t="shared" si="64"/>
        <v>0</v>
      </c>
      <c r="DX32" s="128">
        <f t="shared" si="64"/>
        <v>0</v>
      </c>
      <c r="DY32" s="128">
        <f t="shared" si="64"/>
        <v>0</v>
      </c>
      <c r="DZ32" s="128">
        <f t="shared" si="64"/>
        <v>0</v>
      </c>
      <c r="EA32" s="128">
        <f t="shared" si="64"/>
        <v>0</v>
      </c>
      <c r="EB32" s="128"/>
      <c r="EC32" s="128">
        <f>ROUNDUP($F32*EC5,0)</f>
        <v>0</v>
      </c>
      <c r="ED32" s="128">
        <f t="shared" si="64"/>
        <v>0</v>
      </c>
      <c r="EE32" s="128">
        <f t="shared" si="64"/>
        <v>0</v>
      </c>
      <c r="EF32" s="16">
        <f t="shared" si="64"/>
        <v>0</v>
      </c>
      <c r="EG32" s="16">
        <f t="shared" si="64"/>
        <v>0</v>
      </c>
      <c r="EH32" s="16">
        <f t="shared" si="64"/>
        <v>0</v>
      </c>
      <c r="EI32" s="149">
        <f t="shared" si="53"/>
        <v>0</v>
      </c>
      <c r="EJ32" s="132">
        <f t="shared" si="61"/>
        <v>0</v>
      </c>
    </row>
    <row r="33" spans="1:140" ht="15.6">
      <c r="A33" s="15" t="s">
        <v>141</v>
      </c>
      <c r="B33" s="152">
        <v>5</v>
      </c>
      <c r="C33" s="120" t="s">
        <v>4</v>
      </c>
      <c r="D33" s="796" t="str">
        <f>IF(C33="טונה גדול","1ל-20","1ל-4")</f>
        <v>1ל-20</v>
      </c>
      <c r="E33" s="796"/>
      <c r="F33" s="153">
        <f>IF(C33="טונה גדול",1/20,1/4)</f>
        <v>0.05</v>
      </c>
      <c r="G33" s="142">
        <f t="shared" ref="G33:N47" si="67">ROUNDUP($F33*G$4,0)</f>
        <v>0</v>
      </c>
      <c r="H33" s="142">
        <f t="shared" si="67"/>
        <v>0</v>
      </c>
      <c r="I33" s="142">
        <f t="shared" si="67"/>
        <v>0</v>
      </c>
      <c r="J33" s="142">
        <f t="shared" si="67"/>
        <v>0</v>
      </c>
      <c r="K33" s="142">
        <f t="shared" si="67"/>
        <v>0</v>
      </c>
      <c r="L33" s="142">
        <f t="shared" si="67"/>
        <v>0</v>
      </c>
      <c r="M33" s="142">
        <f t="shared" si="67"/>
        <v>0</v>
      </c>
      <c r="N33" s="142">
        <f t="shared" si="67"/>
        <v>0</v>
      </c>
      <c r="O33" s="142">
        <f t="shared" ref="O33:U47" si="68">ROUNDUP($F33*O$4,0)</f>
        <v>0</v>
      </c>
      <c r="P33" s="142">
        <f t="shared" si="68"/>
        <v>0</v>
      </c>
      <c r="Q33" s="142">
        <f t="shared" si="68"/>
        <v>0</v>
      </c>
      <c r="R33" s="142">
        <f t="shared" si="68"/>
        <v>0</v>
      </c>
      <c r="S33" s="142">
        <f t="shared" si="68"/>
        <v>0</v>
      </c>
      <c r="T33" s="142">
        <f t="shared" si="68"/>
        <v>0</v>
      </c>
      <c r="U33" s="142">
        <f t="shared" si="68"/>
        <v>0</v>
      </c>
      <c r="V33" s="142">
        <f t="shared" ref="V33:BU38" si="69">ROUNDUP($F33*V$4,0)</f>
        <v>0</v>
      </c>
      <c r="W33" s="142">
        <f t="shared" si="69"/>
        <v>0</v>
      </c>
      <c r="X33" s="142">
        <f t="shared" si="69"/>
        <v>0</v>
      </c>
      <c r="Y33" s="142">
        <f t="shared" si="69"/>
        <v>0</v>
      </c>
      <c r="Z33" s="142">
        <f t="shared" si="69"/>
        <v>0</v>
      </c>
      <c r="AA33" s="142">
        <f t="shared" si="69"/>
        <v>0</v>
      </c>
      <c r="AB33" s="142">
        <f t="shared" si="69"/>
        <v>0</v>
      </c>
      <c r="AC33" s="142">
        <f t="shared" si="69"/>
        <v>0</v>
      </c>
      <c r="AD33" s="142">
        <f t="shared" si="69"/>
        <v>0</v>
      </c>
      <c r="AE33" s="142">
        <f t="shared" si="69"/>
        <v>0</v>
      </c>
      <c r="AF33" s="142">
        <f t="shared" si="69"/>
        <v>0</v>
      </c>
      <c r="AG33" s="142">
        <f t="shared" si="69"/>
        <v>0</v>
      </c>
      <c r="AH33" s="142">
        <f t="shared" si="69"/>
        <v>0</v>
      </c>
      <c r="AI33" s="142">
        <f t="shared" si="69"/>
        <v>0</v>
      </c>
      <c r="AJ33" s="142">
        <f t="shared" si="69"/>
        <v>0</v>
      </c>
      <c r="AK33" s="142">
        <f t="shared" si="69"/>
        <v>0</v>
      </c>
      <c r="AL33" s="142">
        <f t="shared" si="69"/>
        <v>0</v>
      </c>
      <c r="AM33" s="142">
        <f t="shared" si="69"/>
        <v>0</v>
      </c>
      <c r="AN33" s="142">
        <f t="shared" si="69"/>
        <v>0</v>
      </c>
      <c r="AO33" s="142">
        <f t="shared" si="69"/>
        <v>0</v>
      </c>
      <c r="AP33" s="142">
        <f t="shared" si="69"/>
        <v>0</v>
      </c>
      <c r="AQ33" s="142">
        <f t="shared" si="69"/>
        <v>0</v>
      </c>
      <c r="AR33" s="142">
        <f t="shared" si="69"/>
        <v>0</v>
      </c>
      <c r="AS33" s="142">
        <f t="shared" si="69"/>
        <v>0</v>
      </c>
      <c r="AT33" s="142">
        <f t="shared" si="69"/>
        <v>0</v>
      </c>
      <c r="AU33" s="142">
        <f t="shared" si="69"/>
        <v>0</v>
      </c>
      <c r="AV33" s="142">
        <f t="shared" si="69"/>
        <v>0</v>
      </c>
      <c r="AW33" s="142">
        <f t="shared" si="69"/>
        <v>0</v>
      </c>
      <c r="AX33" s="142">
        <f t="shared" si="69"/>
        <v>0</v>
      </c>
      <c r="AY33" s="142">
        <f t="shared" si="69"/>
        <v>0</v>
      </c>
      <c r="AZ33" s="142">
        <f t="shared" si="69"/>
        <v>0</v>
      </c>
      <c r="BA33" s="142">
        <f t="shared" si="69"/>
        <v>0</v>
      </c>
      <c r="BB33" s="142">
        <f t="shared" si="69"/>
        <v>0</v>
      </c>
      <c r="BC33" s="142">
        <f t="shared" si="69"/>
        <v>0</v>
      </c>
      <c r="BD33" s="142">
        <f t="shared" si="69"/>
        <v>0</v>
      </c>
      <c r="BE33" s="142">
        <f t="shared" si="69"/>
        <v>0</v>
      </c>
      <c r="BF33" s="142">
        <f t="shared" si="69"/>
        <v>0</v>
      </c>
      <c r="BG33" s="142">
        <f t="shared" si="69"/>
        <v>0</v>
      </c>
      <c r="BH33" s="142">
        <f t="shared" si="69"/>
        <v>0</v>
      </c>
      <c r="BI33" s="142">
        <f t="shared" si="69"/>
        <v>0</v>
      </c>
      <c r="BJ33" s="142">
        <f t="shared" si="69"/>
        <v>0</v>
      </c>
      <c r="BK33" s="142">
        <f t="shared" si="69"/>
        <v>0</v>
      </c>
      <c r="BL33" s="142">
        <f t="shared" si="69"/>
        <v>0</v>
      </c>
      <c r="BM33" s="142">
        <f t="shared" si="69"/>
        <v>0</v>
      </c>
      <c r="BN33" s="142">
        <f t="shared" si="69"/>
        <v>0</v>
      </c>
      <c r="BO33" s="142">
        <f t="shared" si="69"/>
        <v>0</v>
      </c>
      <c r="BP33" s="142">
        <f t="shared" si="69"/>
        <v>0</v>
      </c>
      <c r="BQ33" s="142">
        <f t="shared" si="69"/>
        <v>0</v>
      </c>
      <c r="BR33" s="142">
        <f t="shared" si="69"/>
        <v>0</v>
      </c>
      <c r="BS33" s="142">
        <f t="shared" si="69"/>
        <v>0</v>
      </c>
      <c r="BT33" s="142">
        <f t="shared" si="69"/>
        <v>0</v>
      </c>
      <c r="BU33" s="142">
        <f t="shared" si="69"/>
        <v>0</v>
      </c>
      <c r="BV33" s="142">
        <f t="shared" ref="BA33:EH37" si="70">ROUNDUP($F33*BV$4,0)</f>
        <v>0</v>
      </c>
      <c r="BW33" s="142">
        <f t="shared" si="70"/>
        <v>0</v>
      </c>
      <c r="BX33" s="142">
        <f t="shared" si="70"/>
        <v>0</v>
      </c>
      <c r="BY33" s="142">
        <f t="shared" si="70"/>
        <v>0</v>
      </c>
      <c r="BZ33" s="142">
        <f t="shared" si="70"/>
        <v>0</v>
      </c>
      <c r="CA33" s="142">
        <f t="shared" si="70"/>
        <v>0</v>
      </c>
      <c r="CB33" s="142">
        <f t="shared" si="70"/>
        <v>0</v>
      </c>
      <c r="CC33" s="142">
        <f t="shared" si="70"/>
        <v>0</v>
      </c>
      <c r="CD33" s="142">
        <f t="shared" si="70"/>
        <v>0</v>
      </c>
      <c r="CE33" s="142">
        <f t="shared" si="70"/>
        <v>0</v>
      </c>
      <c r="CF33" s="142">
        <f t="shared" si="70"/>
        <v>0</v>
      </c>
      <c r="CG33" s="128">
        <f t="shared" si="70"/>
        <v>0</v>
      </c>
      <c r="CH33" s="128">
        <f t="shared" si="70"/>
        <v>0</v>
      </c>
      <c r="CI33" s="128">
        <f t="shared" si="70"/>
        <v>0</v>
      </c>
      <c r="CJ33" s="128">
        <f t="shared" si="70"/>
        <v>0</v>
      </c>
      <c r="CK33" s="128">
        <f t="shared" si="70"/>
        <v>0</v>
      </c>
      <c r="CL33" s="128">
        <f t="shared" si="70"/>
        <v>0</v>
      </c>
      <c r="CM33" s="128">
        <f t="shared" si="70"/>
        <v>0</v>
      </c>
      <c r="CN33" s="128">
        <f t="shared" si="70"/>
        <v>0</v>
      </c>
      <c r="CO33" s="128">
        <f t="shared" si="70"/>
        <v>0</v>
      </c>
      <c r="CP33" s="128">
        <f t="shared" si="70"/>
        <v>0</v>
      </c>
      <c r="CQ33" s="128">
        <f t="shared" si="70"/>
        <v>0</v>
      </c>
      <c r="CR33" s="128">
        <f t="shared" si="70"/>
        <v>0</v>
      </c>
      <c r="CS33" s="128">
        <f t="shared" ref="CS33:DG45" si="71">ROUNDUP($F33*CS$4,0)</f>
        <v>0</v>
      </c>
      <c r="CT33" s="128">
        <f t="shared" si="71"/>
        <v>0</v>
      </c>
      <c r="CU33" s="128">
        <f t="shared" si="71"/>
        <v>0</v>
      </c>
      <c r="CV33" s="128">
        <f t="shared" si="71"/>
        <v>0</v>
      </c>
      <c r="CW33" s="128">
        <f t="shared" si="71"/>
        <v>0</v>
      </c>
      <c r="CX33" s="128">
        <f t="shared" si="71"/>
        <v>0</v>
      </c>
      <c r="CY33" s="128">
        <f t="shared" si="71"/>
        <v>0</v>
      </c>
      <c r="CZ33" s="128">
        <f t="shared" si="71"/>
        <v>0</v>
      </c>
      <c r="DA33" s="128">
        <f t="shared" si="71"/>
        <v>0</v>
      </c>
      <c r="DB33" s="128">
        <f t="shared" si="71"/>
        <v>0</v>
      </c>
      <c r="DC33" s="128">
        <f t="shared" si="71"/>
        <v>0</v>
      </c>
      <c r="DD33" s="128">
        <f t="shared" si="71"/>
        <v>0</v>
      </c>
      <c r="DE33" s="128">
        <f t="shared" si="71"/>
        <v>0</v>
      </c>
      <c r="DF33" s="128">
        <f t="shared" si="71"/>
        <v>0</v>
      </c>
      <c r="DG33" s="128">
        <f t="shared" si="71"/>
        <v>0</v>
      </c>
      <c r="DH33" s="128">
        <f t="shared" si="70"/>
        <v>0</v>
      </c>
      <c r="DI33" s="128">
        <f t="shared" si="70"/>
        <v>0</v>
      </c>
      <c r="DJ33" s="128">
        <f t="shared" si="70"/>
        <v>0</v>
      </c>
      <c r="DK33" s="128">
        <f t="shared" si="70"/>
        <v>0</v>
      </c>
      <c r="DL33" s="128">
        <f t="shared" si="70"/>
        <v>0</v>
      </c>
      <c r="DM33" s="128">
        <f t="shared" si="70"/>
        <v>0</v>
      </c>
      <c r="DN33" s="128">
        <f t="shared" si="70"/>
        <v>0</v>
      </c>
      <c r="DO33" s="128">
        <f t="shared" si="70"/>
        <v>0</v>
      </c>
      <c r="DP33" s="128">
        <f t="shared" si="70"/>
        <v>0</v>
      </c>
      <c r="DQ33" s="128">
        <f t="shared" si="70"/>
        <v>0</v>
      </c>
      <c r="DR33" s="128">
        <f t="shared" si="70"/>
        <v>0</v>
      </c>
      <c r="DS33" s="128">
        <f t="shared" si="70"/>
        <v>0</v>
      </c>
      <c r="DT33" s="128">
        <f t="shared" si="70"/>
        <v>0</v>
      </c>
      <c r="DU33" s="128">
        <f t="shared" si="70"/>
        <v>0</v>
      </c>
      <c r="DV33" s="128">
        <f t="shared" si="70"/>
        <v>0</v>
      </c>
      <c r="DW33" s="128">
        <f t="shared" si="70"/>
        <v>0</v>
      </c>
      <c r="DX33" s="128">
        <f t="shared" si="70"/>
        <v>0</v>
      </c>
      <c r="DY33" s="128">
        <f t="shared" si="70"/>
        <v>0</v>
      </c>
      <c r="DZ33" s="128">
        <f t="shared" si="70"/>
        <v>0</v>
      </c>
      <c r="EA33" s="128">
        <f t="shared" si="70"/>
        <v>0</v>
      </c>
      <c r="EB33" s="128"/>
      <c r="EC33" s="128">
        <f t="shared" si="70"/>
        <v>0</v>
      </c>
      <c r="ED33" s="128">
        <f t="shared" si="70"/>
        <v>0</v>
      </c>
      <c r="EE33" s="128">
        <f t="shared" si="70"/>
        <v>0</v>
      </c>
      <c r="EF33" s="16">
        <f t="shared" si="70"/>
        <v>0</v>
      </c>
      <c r="EG33" s="16">
        <f t="shared" si="70"/>
        <v>0</v>
      </c>
      <c r="EH33" s="16">
        <f t="shared" si="70"/>
        <v>0</v>
      </c>
      <c r="EI33" s="149">
        <f t="shared" si="53"/>
        <v>0</v>
      </c>
      <c r="EJ33" s="132">
        <f t="shared" si="61"/>
        <v>0</v>
      </c>
    </row>
    <row r="34" spans="1:140" ht="15.6">
      <c r="A34" s="15" t="s">
        <v>141</v>
      </c>
      <c r="B34" s="15">
        <v>6</v>
      </c>
      <c r="C34" s="155" t="s">
        <v>156</v>
      </c>
      <c r="D34" s="800" t="s">
        <v>155</v>
      </c>
      <c r="E34" s="801"/>
      <c r="F34" s="17">
        <v>0.1</v>
      </c>
      <c r="G34" s="142">
        <f t="shared" si="67"/>
        <v>0</v>
      </c>
      <c r="H34" s="142">
        <f t="shared" si="67"/>
        <v>0</v>
      </c>
      <c r="I34" s="142">
        <f t="shared" si="67"/>
        <v>0</v>
      </c>
      <c r="J34" s="142">
        <f t="shared" si="67"/>
        <v>0</v>
      </c>
      <c r="K34" s="142">
        <f t="shared" si="67"/>
        <v>0</v>
      </c>
      <c r="L34" s="142">
        <f t="shared" si="67"/>
        <v>0</v>
      </c>
      <c r="M34" s="142">
        <f t="shared" si="67"/>
        <v>0</v>
      </c>
      <c r="N34" s="142">
        <f t="shared" si="67"/>
        <v>0</v>
      </c>
      <c r="O34" s="142">
        <f t="shared" si="68"/>
        <v>0</v>
      </c>
      <c r="P34" s="142">
        <f t="shared" si="68"/>
        <v>0</v>
      </c>
      <c r="Q34" s="142">
        <f t="shared" si="68"/>
        <v>0</v>
      </c>
      <c r="R34" s="142">
        <f t="shared" si="68"/>
        <v>0</v>
      </c>
      <c r="S34" s="142">
        <f t="shared" si="68"/>
        <v>0</v>
      </c>
      <c r="T34" s="142">
        <f t="shared" si="68"/>
        <v>0</v>
      </c>
      <c r="U34" s="142">
        <f t="shared" si="68"/>
        <v>0</v>
      </c>
      <c r="V34" s="142">
        <f t="shared" si="69"/>
        <v>0</v>
      </c>
      <c r="W34" s="142">
        <f t="shared" si="69"/>
        <v>0</v>
      </c>
      <c r="X34" s="142">
        <f t="shared" si="69"/>
        <v>0</v>
      </c>
      <c r="Y34" s="142">
        <f t="shared" si="69"/>
        <v>0</v>
      </c>
      <c r="Z34" s="142">
        <f t="shared" si="69"/>
        <v>0</v>
      </c>
      <c r="AA34" s="142">
        <f t="shared" si="69"/>
        <v>0</v>
      </c>
      <c r="AB34" s="142">
        <f t="shared" si="69"/>
        <v>0</v>
      </c>
      <c r="AC34" s="142">
        <f t="shared" si="69"/>
        <v>0</v>
      </c>
      <c r="AD34" s="142">
        <f t="shared" si="69"/>
        <v>0</v>
      </c>
      <c r="AE34" s="142">
        <f t="shared" si="69"/>
        <v>0</v>
      </c>
      <c r="AF34" s="142">
        <f t="shared" si="69"/>
        <v>0</v>
      </c>
      <c r="AG34" s="142">
        <f t="shared" si="69"/>
        <v>0</v>
      </c>
      <c r="AH34" s="142">
        <f t="shared" si="69"/>
        <v>0</v>
      </c>
      <c r="AI34" s="142">
        <f t="shared" si="69"/>
        <v>0</v>
      </c>
      <c r="AJ34" s="142">
        <f t="shared" si="69"/>
        <v>0</v>
      </c>
      <c r="AK34" s="142">
        <f t="shared" si="69"/>
        <v>0</v>
      </c>
      <c r="AL34" s="142">
        <f t="shared" si="69"/>
        <v>0</v>
      </c>
      <c r="AM34" s="142">
        <f t="shared" si="69"/>
        <v>0</v>
      </c>
      <c r="AN34" s="142">
        <f t="shared" si="69"/>
        <v>0</v>
      </c>
      <c r="AO34" s="142">
        <f t="shared" si="69"/>
        <v>0</v>
      </c>
      <c r="AP34" s="142">
        <f t="shared" si="69"/>
        <v>0</v>
      </c>
      <c r="AQ34" s="142">
        <f t="shared" si="69"/>
        <v>0</v>
      </c>
      <c r="AR34" s="142">
        <f t="shared" si="69"/>
        <v>0</v>
      </c>
      <c r="AS34" s="142">
        <f t="shared" si="69"/>
        <v>0</v>
      </c>
      <c r="AT34" s="142">
        <f t="shared" si="69"/>
        <v>0</v>
      </c>
      <c r="AU34" s="142">
        <f t="shared" si="69"/>
        <v>0</v>
      </c>
      <c r="AV34" s="142">
        <f t="shared" si="69"/>
        <v>0</v>
      </c>
      <c r="AW34" s="142">
        <f t="shared" si="69"/>
        <v>0</v>
      </c>
      <c r="AX34" s="142">
        <f t="shared" si="69"/>
        <v>0</v>
      </c>
      <c r="AY34" s="142">
        <f t="shared" si="69"/>
        <v>0</v>
      </c>
      <c r="AZ34" s="142">
        <f t="shared" si="69"/>
        <v>0</v>
      </c>
      <c r="BA34" s="142">
        <f t="shared" si="70"/>
        <v>0</v>
      </c>
      <c r="BB34" s="142">
        <f t="shared" si="70"/>
        <v>0</v>
      </c>
      <c r="BC34" s="142">
        <f t="shared" si="70"/>
        <v>0</v>
      </c>
      <c r="BD34" s="142">
        <f t="shared" si="70"/>
        <v>0</v>
      </c>
      <c r="BE34" s="142">
        <f t="shared" si="70"/>
        <v>0</v>
      </c>
      <c r="BF34" s="142">
        <f t="shared" si="70"/>
        <v>0</v>
      </c>
      <c r="BG34" s="142">
        <f t="shared" si="70"/>
        <v>0</v>
      </c>
      <c r="BH34" s="142">
        <f t="shared" si="70"/>
        <v>0</v>
      </c>
      <c r="BI34" s="142">
        <f t="shared" si="70"/>
        <v>0</v>
      </c>
      <c r="BJ34" s="142">
        <f t="shared" si="70"/>
        <v>0</v>
      </c>
      <c r="BK34" s="142">
        <f t="shared" si="70"/>
        <v>0</v>
      </c>
      <c r="BL34" s="142">
        <f t="shared" si="70"/>
        <v>0</v>
      </c>
      <c r="BM34" s="142">
        <f t="shared" si="70"/>
        <v>0</v>
      </c>
      <c r="BN34" s="142">
        <f t="shared" si="70"/>
        <v>0</v>
      </c>
      <c r="BO34" s="142">
        <f t="shared" si="70"/>
        <v>0</v>
      </c>
      <c r="BP34" s="142">
        <f t="shared" si="70"/>
        <v>0</v>
      </c>
      <c r="BQ34" s="142">
        <f t="shared" si="70"/>
        <v>0</v>
      </c>
      <c r="BR34" s="142">
        <f t="shared" si="70"/>
        <v>0</v>
      </c>
      <c r="BS34" s="142">
        <f t="shared" si="70"/>
        <v>0</v>
      </c>
      <c r="BT34" s="142">
        <f t="shared" si="70"/>
        <v>0</v>
      </c>
      <c r="BU34" s="142">
        <f t="shared" si="70"/>
        <v>0</v>
      </c>
      <c r="BV34" s="142">
        <f t="shared" si="70"/>
        <v>0</v>
      </c>
      <c r="BW34" s="142">
        <f t="shared" si="70"/>
        <v>0</v>
      </c>
      <c r="BX34" s="142">
        <f t="shared" si="70"/>
        <v>0</v>
      </c>
      <c r="BY34" s="142">
        <f t="shared" si="70"/>
        <v>0</v>
      </c>
      <c r="BZ34" s="142">
        <f t="shared" si="70"/>
        <v>0</v>
      </c>
      <c r="CA34" s="142">
        <f t="shared" si="70"/>
        <v>0</v>
      </c>
      <c r="CB34" s="142">
        <f t="shared" si="70"/>
        <v>0</v>
      </c>
      <c r="CC34" s="142">
        <f t="shared" si="70"/>
        <v>0</v>
      </c>
      <c r="CD34" s="142">
        <f t="shared" si="70"/>
        <v>0</v>
      </c>
      <c r="CE34" s="142">
        <f t="shared" si="70"/>
        <v>0</v>
      </c>
      <c r="CF34" s="142">
        <f t="shared" si="70"/>
        <v>0</v>
      </c>
      <c r="CG34" s="128">
        <f t="shared" si="70"/>
        <v>0</v>
      </c>
      <c r="CH34" s="128">
        <f t="shared" si="70"/>
        <v>0</v>
      </c>
      <c r="CI34" s="128">
        <f t="shared" si="70"/>
        <v>0</v>
      </c>
      <c r="CJ34" s="128">
        <f t="shared" si="70"/>
        <v>0</v>
      </c>
      <c r="CK34" s="128">
        <f t="shared" si="70"/>
        <v>0</v>
      </c>
      <c r="CL34" s="128">
        <f t="shared" si="70"/>
        <v>0</v>
      </c>
      <c r="CM34" s="128">
        <f t="shared" si="70"/>
        <v>0</v>
      </c>
      <c r="CN34" s="128">
        <f t="shared" si="70"/>
        <v>0</v>
      </c>
      <c r="CO34" s="128">
        <f t="shared" si="70"/>
        <v>0</v>
      </c>
      <c r="CP34" s="128">
        <f t="shared" si="70"/>
        <v>0</v>
      </c>
      <c r="CQ34" s="128">
        <f t="shared" si="70"/>
        <v>0</v>
      </c>
      <c r="CR34" s="128">
        <f t="shared" si="70"/>
        <v>0</v>
      </c>
      <c r="CS34" s="128">
        <f t="shared" si="71"/>
        <v>0</v>
      </c>
      <c r="CT34" s="128">
        <f t="shared" si="71"/>
        <v>0</v>
      </c>
      <c r="CU34" s="128">
        <f t="shared" si="71"/>
        <v>0</v>
      </c>
      <c r="CV34" s="128">
        <f t="shared" si="71"/>
        <v>0</v>
      </c>
      <c r="CW34" s="128">
        <f t="shared" si="71"/>
        <v>0</v>
      </c>
      <c r="CX34" s="128">
        <f t="shared" si="71"/>
        <v>0</v>
      </c>
      <c r="CY34" s="128">
        <f t="shared" si="71"/>
        <v>0</v>
      </c>
      <c r="CZ34" s="128">
        <f t="shared" si="71"/>
        <v>0</v>
      </c>
      <c r="DA34" s="128">
        <f t="shared" si="71"/>
        <v>0</v>
      </c>
      <c r="DB34" s="128">
        <f t="shared" si="71"/>
        <v>0</v>
      </c>
      <c r="DC34" s="128">
        <f t="shared" si="71"/>
        <v>0</v>
      </c>
      <c r="DD34" s="128">
        <f t="shared" si="71"/>
        <v>0</v>
      </c>
      <c r="DE34" s="128">
        <f t="shared" si="71"/>
        <v>0</v>
      </c>
      <c r="DF34" s="128">
        <f t="shared" si="71"/>
        <v>0</v>
      </c>
      <c r="DG34" s="128">
        <f t="shared" si="71"/>
        <v>0</v>
      </c>
      <c r="DH34" s="128">
        <f t="shared" si="70"/>
        <v>0</v>
      </c>
      <c r="DI34" s="128">
        <f t="shared" si="70"/>
        <v>0</v>
      </c>
      <c r="DJ34" s="128">
        <f t="shared" si="70"/>
        <v>0</v>
      </c>
      <c r="DK34" s="128">
        <f t="shared" si="70"/>
        <v>0</v>
      </c>
      <c r="DL34" s="128">
        <f t="shared" si="70"/>
        <v>0</v>
      </c>
      <c r="DM34" s="128">
        <f t="shared" si="70"/>
        <v>0</v>
      </c>
      <c r="DN34" s="128">
        <f t="shared" si="70"/>
        <v>0</v>
      </c>
      <c r="DO34" s="128">
        <f t="shared" si="70"/>
        <v>0</v>
      </c>
      <c r="DP34" s="128">
        <f t="shared" si="70"/>
        <v>0</v>
      </c>
      <c r="DQ34" s="128">
        <f t="shared" si="70"/>
        <v>0</v>
      </c>
      <c r="DR34" s="128">
        <f t="shared" si="70"/>
        <v>0</v>
      </c>
      <c r="DS34" s="128">
        <f t="shared" si="70"/>
        <v>0</v>
      </c>
      <c r="DT34" s="128">
        <f t="shared" si="70"/>
        <v>0</v>
      </c>
      <c r="DU34" s="128">
        <f t="shared" si="70"/>
        <v>0</v>
      </c>
      <c r="DV34" s="128">
        <f t="shared" si="70"/>
        <v>0</v>
      </c>
      <c r="DW34" s="128">
        <f t="shared" si="70"/>
        <v>0</v>
      </c>
      <c r="DX34" s="128">
        <f t="shared" si="70"/>
        <v>0</v>
      </c>
      <c r="DY34" s="128">
        <f t="shared" si="70"/>
        <v>0</v>
      </c>
      <c r="DZ34" s="128">
        <f t="shared" si="70"/>
        <v>0</v>
      </c>
      <c r="EA34" s="128">
        <f t="shared" si="70"/>
        <v>0</v>
      </c>
      <c r="EB34" s="128"/>
      <c r="EC34" s="128">
        <f t="shared" si="70"/>
        <v>0</v>
      </c>
      <c r="ED34" s="128">
        <f t="shared" si="70"/>
        <v>0</v>
      </c>
      <c r="EE34" s="128">
        <f t="shared" si="70"/>
        <v>0</v>
      </c>
      <c r="EF34" s="16">
        <f t="shared" si="70"/>
        <v>0</v>
      </c>
      <c r="EG34" s="16">
        <f t="shared" si="70"/>
        <v>0</v>
      </c>
      <c r="EH34" s="16">
        <f t="shared" si="70"/>
        <v>0</v>
      </c>
      <c r="EI34" s="149">
        <f t="shared" si="53"/>
        <v>0</v>
      </c>
      <c r="EJ34" s="132">
        <f t="shared" si="61"/>
        <v>0</v>
      </c>
    </row>
    <row r="35" spans="1:140" ht="15.6">
      <c r="A35" s="15" t="s">
        <v>141</v>
      </c>
      <c r="B35" s="15">
        <v>7</v>
      </c>
      <c r="C35" s="15" t="s">
        <v>154</v>
      </c>
      <c r="D35" s="794" t="s">
        <v>436</v>
      </c>
      <c r="E35" s="795"/>
      <c r="F35" s="17">
        <v>0.1</v>
      </c>
      <c r="G35" s="142">
        <f t="shared" si="67"/>
        <v>0</v>
      </c>
      <c r="H35" s="142">
        <f t="shared" si="67"/>
        <v>0</v>
      </c>
      <c r="I35" s="142">
        <f t="shared" si="67"/>
        <v>0</v>
      </c>
      <c r="J35" s="142">
        <f t="shared" si="67"/>
        <v>0</v>
      </c>
      <c r="K35" s="142">
        <f t="shared" si="67"/>
        <v>0</v>
      </c>
      <c r="L35" s="142">
        <f t="shared" si="67"/>
        <v>0</v>
      </c>
      <c r="M35" s="142">
        <f t="shared" si="67"/>
        <v>0</v>
      </c>
      <c r="N35" s="142">
        <f t="shared" si="67"/>
        <v>0</v>
      </c>
      <c r="O35" s="142">
        <f t="shared" si="68"/>
        <v>0</v>
      </c>
      <c r="P35" s="142">
        <f t="shared" si="68"/>
        <v>0</v>
      </c>
      <c r="Q35" s="142">
        <f t="shared" si="68"/>
        <v>0</v>
      </c>
      <c r="R35" s="142">
        <f t="shared" si="68"/>
        <v>0</v>
      </c>
      <c r="S35" s="142">
        <f t="shared" si="68"/>
        <v>0</v>
      </c>
      <c r="T35" s="142">
        <f t="shared" si="68"/>
        <v>0</v>
      </c>
      <c r="U35" s="142">
        <f t="shared" si="68"/>
        <v>0</v>
      </c>
      <c r="V35" s="142">
        <f t="shared" si="69"/>
        <v>0</v>
      </c>
      <c r="W35" s="142">
        <f t="shared" si="69"/>
        <v>0</v>
      </c>
      <c r="X35" s="142">
        <f t="shared" si="69"/>
        <v>0</v>
      </c>
      <c r="Y35" s="142">
        <f t="shared" si="69"/>
        <v>0</v>
      </c>
      <c r="Z35" s="142">
        <f t="shared" si="69"/>
        <v>0</v>
      </c>
      <c r="AA35" s="142">
        <f t="shared" si="69"/>
        <v>0</v>
      </c>
      <c r="AB35" s="142">
        <f t="shared" si="69"/>
        <v>0</v>
      </c>
      <c r="AC35" s="142">
        <f t="shared" si="69"/>
        <v>0</v>
      </c>
      <c r="AD35" s="142">
        <f t="shared" si="69"/>
        <v>0</v>
      </c>
      <c r="AE35" s="142">
        <f t="shared" si="69"/>
        <v>0</v>
      </c>
      <c r="AF35" s="142">
        <f t="shared" si="69"/>
        <v>0</v>
      </c>
      <c r="AG35" s="142">
        <f t="shared" si="69"/>
        <v>0</v>
      </c>
      <c r="AH35" s="142">
        <f t="shared" si="69"/>
        <v>0</v>
      </c>
      <c r="AI35" s="142">
        <f t="shared" si="69"/>
        <v>0</v>
      </c>
      <c r="AJ35" s="142">
        <f t="shared" si="69"/>
        <v>0</v>
      </c>
      <c r="AK35" s="142">
        <f t="shared" si="69"/>
        <v>0</v>
      </c>
      <c r="AL35" s="142">
        <f t="shared" si="69"/>
        <v>0</v>
      </c>
      <c r="AM35" s="142">
        <f t="shared" si="69"/>
        <v>0</v>
      </c>
      <c r="AN35" s="142">
        <f t="shared" si="69"/>
        <v>0</v>
      </c>
      <c r="AO35" s="142">
        <f t="shared" si="69"/>
        <v>0</v>
      </c>
      <c r="AP35" s="142">
        <f t="shared" si="69"/>
        <v>0</v>
      </c>
      <c r="AQ35" s="142">
        <f t="shared" si="69"/>
        <v>0</v>
      </c>
      <c r="AR35" s="142">
        <f t="shared" si="69"/>
        <v>0</v>
      </c>
      <c r="AS35" s="142">
        <f t="shared" si="69"/>
        <v>0</v>
      </c>
      <c r="AT35" s="142">
        <f t="shared" si="69"/>
        <v>0</v>
      </c>
      <c r="AU35" s="142">
        <f t="shared" si="69"/>
        <v>0</v>
      </c>
      <c r="AV35" s="142">
        <f t="shared" si="69"/>
        <v>0</v>
      </c>
      <c r="AW35" s="142">
        <f t="shared" si="69"/>
        <v>0</v>
      </c>
      <c r="AX35" s="142">
        <f t="shared" si="69"/>
        <v>0</v>
      </c>
      <c r="AY35" s="142">
        <f t="shared" si="69"/>
        <v>0</v>
      </c>
      <c r="AZ35" s="142">
        <f t="shared" si="69"/>
        <v>0</v>
      </c>
      <c r="BA35" s="142">
        <f t="shared" si="70"/>
        <v>0</v>
      </c>
      <c r="BB35" s="142">
        <f t="shared" si="70"/>
        <v>0</v>
      </c>
      <c r="BC35" s="142">
        <f t="shared" si="70"/>
        <v>0</v>
      </c>
      <c r="BD35" s="142">
        <f t="shared" si="70"/>
        <v>0</v>
      </c>
      <c r="BE35" s="142">
        <f t="shared" si="70"/>
        <v>0</v>
      </c>
      <c r="BF35" s="142">
        <f t="shared" si="70"/>
        <v>0</v>
      </c>
      <c r="BG35" s="142">
        <f t="shared" ref="BG35:BS37" si="72">ROUNDUP($F35*BG$4,0)</f>
        <v>0</v>
      </c>
      <c r="BH35" s="142">
        <f t="shared" si="72"/>
        <v>0</v>
      </c>
      <c r="BI35" s="142">
        <f t="shared" si="72"/>
        <v>0</v>
      </c>
      <c r="BJ35" s="142">
        <f t="shared" si="72"/>
        <v>0</v>
      </c>
      <c r="BK35" s="142">
        <f t="shared" si="72"/>
        <v>0</v>
      </c>
      <c r="BL35" s="142">
        <f t="shared" si="72"/>
        <v>0</v>
      </c>
      <c r="BM35" s="142">
        <f t="shared" si="72"/>
        <v>0</v>
      </c>
      <c r="BN35" s="142">
        <f t="shared" si="72"/>
        <v>0</v>
      </c>
      <c r="BO35" s="142">
        <f t="shared" si="72"/>
        <v>0</v>
      </c>
      <c r="BP35" s="142">
        <f t="shared" si="72"/>
        <v>0</v>
      </c>
      <c r="BQ35" s="142">
        <f t="shared" si="72"/>
        <v>0</v>
      </c>
      <c r="BR35" s="142">
        <f t="shared" si="72"/>
        <v>0</v>
      </c>
      <c r="BS35" s="142">
        <f t="shared" si="72"/>
        <v>0</v>
      </c>
      <c r="BT35" s="142">
        <f t="shared" si="70"/>
        <v>0</v>
      </c>
      <c r="BU35" s="142">
        <f t="shared" si="70"/>
        <v>0</v>
      </c>
      <c r="BV35" s="142">
        <f t="shared" si="70"/>
        <v>0</v>
      </c>
      <c r="BW35" s="142">
        <f t="shared" si="70"/>
        <v>0</v>
      </c>
      <c r="BX35" s="142">
        <f t="shared" si="70"/>
        <v>0</v>
      </c>
      <c r="BY35" s="142">
        <f t="shared" si="70"/>
        <v>0</v>
      </c>
      <c r="BZ35" s="142">
        <f t="shared" si="70"/>
        <v>0</v>
      </c>
      <c r="CA35" s="142">
        <f t="shared" si="70"/>
        <v>0</v>
      </c>
      <c r="CB35" s="142">
        <f t="shared" si="70"/>
        <v>0</v>
      </c>
      <c r="CC35" s="142">
        <f t="shared" si="70"/>
        <v>0</v>
      </c>
      <c r="CD35" s="142">
        <f t="shared" si="70"/>
        <v>0</v>
      </c>
      <c r="CE35" s="142">
        <f t="shared" si="70"/>
        <v>0</v>
      </c>
      <c r="CF35" s="142">
        <f t="shared" si="70"/>
        <v>0</v>
      </c>
      <c r="CG35" s="128">
        <f t="shared" si="70"/>
        <v>0</v>
      </c>
      <c r="CH35" s="128">
        <f t="shared" si="70"/>
        <v>0</v>
      </c>
      <c r="CI35" s="128">
        <f t="shared" si="70"/>
        <v>0</v>
      </c>
      <c r="CJ35" s="128">
        <f t="shared" si="70"/>
        <v>0</v>
      </c>
      <c r="CK35" s="128">
        <f t="shared" si="70"/>
        <v>0</v>
      </c>
      <c r="CL35" s="128">
        <f t="shared" si="70"/>
        <v>0</v>
      </c>
      <c r="CM35" s="128">
        <f t="shared" si="70"/>
        <v>0</v>
      </c>
      <c r="CN35" s="128">
        <f t="shared" si="70"/>
        <v>0</v>
      </c>
      <c r="CO35" s="128">
        <f t="shared" si="70"/>
        <v>0</v>
      </c>
      <c r="CP35" s="128">
        <f t="shared" si="70"/>
        <v>0</v>
      </c>
      <c r="CQ35" s="128">
        <f t="shared" si="70"/>
        <v>0</v>
      </c>
      <c r="CR35" s="128">
        <f t="shared" si="70"/>
        <v>0</v>
      </c>
      <c r="CS35" s="128">
        <f t="shared" si="71"/>
        <v>0</v>
      </c>
      <c r="CT35" s="128">
        <f t="shared" si="71"/>
        <v>0</v>
      </c>
      <c r="CU35" s="128">
        <f t="shared" si="71"/>
        <v>0</v>
      </c>
      <c r="CV35" s="128">
        <f t="shared" si="71"/>
        <v>0</v>
      </c>
      <c r="CW35" s="128">
        <f t="shared" si="71"/>
        <v>0</v>
      </c>
      <c r="CX35" s="128">
        <f t="shared" si="71"/>
        <v>0</v>
      </c>
      <c r="CY35" s="128">
        <f t="shared" si="71"/>
        <v>0</v>
      </c>
      <c r="CZ35" s="128">
        <f t="shared" si="71"/>
        <v>0</v>
      </c>
      <c r="DA35" s="128">
        <f t="shared" si="71"/>
        <v>0</v>
      </c>
      <c r="DB35" s="128">
        <f t="shared" si="71"/>
        <v>0</v>
      </c>
      <c r="DC35" s="128">
        <f t="shared" si="71"/>
        <v>0</v>
      </c>
      <c r="DD35" s="128">
        <f t="shared" si="71"/>
        <v>0</v>
      </c>
      <c r="DE35" s="128">
        <f t="shared" si="71"/>
        <v>0</v>
      </c>
      <c r="DF35" s="128">
        <f t="shared" si="71"/>
        <v>0</v>
      </c>
      <c r="DG35" s="128">
        <f t="shared" si="71"/>
        <v>0</v>
      </c>
      <c r="DH35" s="128">
        <f t="shared" si="70"/>
        <v>0</v>
      </c>
      <c r="DI35" s="128">
        <f t="shared" si="70"/>
        <v>0</v>
      </c>
      <c r="DJ35" s="128">
        <f t="shared" si="70"/>
        <v>0</v>
      </c>
      <c r="DK35" s="128">
        <f t="shared" si="70"/>
        <v>0</v>
      </c>
      <c r="DL35" s="128">
        <f t="shared" si="70"/>
        <v>0</v>
      </c>
      <c r="DM35" s="128">
        <f t="shared" si="70"/>
        <v>0</v>
      </c>
      <c r="DN35" s="128">
        <f t="shared" si="70"/>
        <v>0</v>
      </c>
      <c r="DO35" s="128">
        <f t="shared" si="70"/>
        <v>0</v>
      </c>
      <c r="DP35" s="128">
        <f t="shared" si="70"/>
        <v>0</v>
      </c>
      <c r="DQ35" s="128">
        <f t="shared" si="70"/>
        <v>0</v>
      </c>
      <c r="DR35" s="128">
        <f t="shared" si="70"/>
        <v>0</v>
      </c>
      <c r="DS35" s="128">
        <f t="shared" si="70"/>
        <v>0</v>
      </c>
      <c r="DT35" s="128">
        <f t="shared" si="70"/>
        <v>0</v>
      </c>
      <c r="DU35" s="128">
        <f t="shared" si="70"/>
        <v>0</v>
      </c>
      <c r="DV35" s="128">
        <f t="shared" si="70"/>
        <v>0</v>
      </c>
      <c r="DW35" s="128">
        <f t="shared" si="70"/>
        <v>0</v>
      </c>
      <c r="DX35" s="128">
        <f t="shared" si="70"/>
        <v>0</v>
      </c>
      <c r="DY35" s="128">
        <f t="shared" si="70"/>
        <v>0</v>
      </c>
      <c r="DZ35" s="128">
        <f t="shared" si="70"/>
        <v>0</v>
      </c>
      <c r="EA35" s="128">
        <f t="shared" si="70"/>
        <v>0</v>
      </c>
      <c r="EB35" s="128"/>
      <c r="EC35" s="128">
        <f t="shared" si="70"/>
        <v>0</v>
      </c>
      <c r="ED35" s="128">
        <f t="shared" si="70"/>
        <v>0</v>
      </c>
      <c r="EE35" s="128">
        <f t="shared" si="70"/>
        <v>0</v>
      </c>
      <c r="EF35" s="16">
        <f t="shared" si="70"/>
        <v>0</v>
      </c>
      <c r="EG35" s="16">
        <f t="shared" si="70"/>
        <v>0</v>
      </c>
      <c r="EH35" s="16">
        <f t="shared" si="70"/>
        <v>0</v>
      </c>
      <c r="EI35" s="149">
        <f t="shared" si="53"/>
        <v>0</v>
      </c>
      <c r="EJ35" s="132">
        <f t="shared" si="61"/>
        <v>0</v>
      </c>
    </row>
    <row r="36" spans="1:140" ht="15.6">
      <c r="A36" s="15" t="s">
        <v>141</v>
      </c>
      <c r="B36" s="15">
        <v>8</v>
      </c>
      <c r="C36" s="15" t="s">
        <v>152</v>
      </c>
      <c r="D36" s="794" t="s">
        <v>146</v>
      </c>
      <c r="E36" s="795"/>
      <c r="F36" s="17">
        <v>3.3333333333333333E-2</v>
      </c>
      <c r="G36" s="142">
        <f t="shared" si="67"/>
        <v>0</v>
      </c>
      <c r="H36" s="142">
        <f t="shared" si="67"/>
        <v>0</v>
      </c>
      <c r="I36" s="142">
        <f t="shared" si="67"/>
        <v>0</v>
      </c>
      <c r="J36" s="142">
        <f t="shared" si="67"/>
        <v>0</v>
      </c>
      <c r="K36" s="142">
        <f t="shared" si="67"/>
        <v>0</v>
      </c>
      <c r="L36" s="142">
        <f t="shared" si="67"/>
        <v>0</v>
      </c>
      <c r="M36" s="142">
        <f t="shared" si="67"/>
        <v>0</v>
      </c>
      <c r="N36" s="142">
        <f t="shared" si="67"/>
        <v>0</v>
      </c>
      <c r="O36" s="142">
        <f t="shared" si="68"/>
        <v>0</v>
      </c>
      <c r="P36" s="142">
        <f t="shared" si="68"/>
        <v>0</v>
      </c>
      <c r="Q36" s="142">
        <f t="shared" si="68"/>
        <v>0</v>
      </c>
      <c r="R36" s="142">
        <f t="shared" si="68"/>
        <v>0</v>
      </c>
      <c r="S36" s="142">
        <f t="shared" si="68"/>
        <v>0</v>
      </c>
      <c r="T36" s="142">
        <f t="shared" si="68"/>
        <v>0</v>
      </c>
      <c r="U36" s="142">
        <f t="shared" si="68"/>
        <v>0</v>
      </c>
      <c r="V36" s="142">
        <f t="shared" si="69"/>
        <v>0</v>
      </c>
      <c r="W36" s="142">
        <f t="shared" si="69"/>
        <v>0</v>
      </c>
      <c r="X36" s="142">
        <f t="shared" si="69"/>
        <v>0</v>
      </c>
      <c r="Y36" s="142">
        <f t="shared" si="69"/>
        <v>0</v>
      </c>
      <c r="Z36" s="142">
        <f t="shared" si="69"/>
        <v>0</v>
      </c>
      <c r="AA36" s="142">
        <f t="shared" si="69"/>
        <v>0</v>
      </c>
      <c r="AB36" s="142">
        <f t="shared" si="69"/>
        <v>0</v>
      </c>
      <c r="AC36" s="142">
        <f t="shared" si="69"/>
        <v>0</v>
      </c>
      <c r="AD36" s="142">
        <f t="shared" si="69"/>
        <v>0</v>
      </c>
      <c r="AE36" s="142">
        <f t="shared" si="69"/>
        <v>0</v>
      </c>
      <c r="AF36" s="142">
        <f t="shared" si="69"/>
        <v>0</v>
      </c>
      <c r="AG36" s="142">
        <f t="shared" si="69"/>
        <v>0</v>
      </c>
      <c r="AH36" s="142">
        <f t="shared" si="69"/>
        <v>0</v>
      </c>
      <c r="AI36" s="142">
        <f t="shared" si="69"/>
        <v>0</v>
      </c>
      <c r="AJ36" s="142">
        <f t="shared" si="69"/>
        <v>0</v>
      </c>
      <c r="AK36" s="142">
        <f t="shared" si="69"/>
        <v>0</v>
      </c>
      <c r="AL36" s="142">
        <f t="shared" si="69"/>
        <v>0</v>
      </c>
      <c r="AM36" s="142">
        <f t="shared" si="69"/>
        <v>0</v>
      </c>
      <c r="AN36" s="142">
        <f t="shared" si="69"/>
        <v>0</v>
      </c>
      <c r="AO36" s="142">
        <f t="shared" si="69"/>
        <v>0</v>
      </c>
      <c r="AP36" s="142">
        <f t="shared" si="69"/>
        <v>0</v>
      </c>
      <c r="AQ36" s="142">
        <f t="shared" si="69"/>
        <v>0</v>
      </c>
      <c r="AR36" s="142">
        <f t="shared" si="69"/>
        <v>0</v>
      </c>
      <c r="AS36" s="142">
        <f t="shared" si="69"/>
        <v>0</v>
      </c>
      <c r="AT36" s="142">
        <f t="shared" si="69"/>
        <v>0</v>
      </c>
      <c r="AU36" s="142">
        <f t="shared" si="69"/>
        <v>0</v>
      </c>
      <c r="AV36" s="142">
        <f t="shared" si="69"/>
        <v>0</v>
      </c>
      <c r="AW36" s="142">
        <f t="shared" si="69"/>
        <v>0</v>
      </c>
      <c r="AX36" s="142">
        <f t="shared" si="69"/>
        <v>0</v>
      </c>
      <c r="AY36" s="142">
        <f t="shared" si="69"/>
        <v>0</v>
      </c>
      <c r="AZ36" s="142">
        <f t="shared" si="69"/>
        <v>0</v>
      </c>
      <c r="BA36" s="142">
        <f t="shared" si="70"/>
        <v>0</v>
      </c>
      <c r="BB36" s="142">
        <f t="shared" si="70"/>
        <v>0</v>
      </c>
      <c r="BC36" s="142">
        <f t="shared" si="70"/>
        <v>0</v>
      </c>
      <c r="BD36" s="142">
        <f t="shared" si="70"/>
        <v>0</v>
      </c>
      <c r="BE36" s="142">
        <f t="shared" si="70"/>
        <v>0</v>
      </c>
      <c r="BF36" s="142">
        <f t="shared" si="70"/>
        <v>0</v>
      </c>
      <c r="BG36" s="142">
        <f t="shared" si="72"/>
        <v>0</v>
      </c>
      <c r="BH36" s="142">
        <f t="shared" si="72"/>
        <v>0</v>
      </c>
      <c r="BI36" s="142">
        <f t="shared" si="72"/>
        <v>0</v>
      </c>
      <c r="BJ36" s="142">
        <f t="shared" si="72"/>
        <v>0</v>
      </c>
      <c r="BK36" s="142">
        <f t="shared" si="72"/>
        <v>0</v>
      </c>
      <c r="BL36" s="142">
        <f t="shared" si="72"/>
        <v>0</v>
      </c>
      <c r="BM36" s="142">
        <f t="shared" si="72"/>
        <v>0</v>
      </c>
      <c r="BN36" s="142">
        <f t="shared" si="72"/>
        <v>0</v>
      </c>
      <c r="BO36" s="142">
        <f t="shared" si="72"/>
        <v>0</v>
      </c>
      <c r="BP36" s="142">
        <f t="shared" si="72"/>
        <v>0</v>
      </c>
      <c r="BQ36" s="142">
        <f t="shared" si="72"/>
        <v>0</v>
      </c>
      <c r="BR36" s="142">
        <f t="shared" si="72"/>
        <v>0</v>
      </c>
      <c r="BS36" s="142">
        <f t="shared" si="72"/>
        <v>0</v>
      </c>
      <c r="BT36" s="142">
        <f t="shared" si="70"/>
        <v>0</v>
      </c>
      <c r="BU36" s="142">
        <f t="shared" si="70"/>
        <v>0</v>
      </c>
      <c r="BV36" s="142">
        <f t="shared" si="70"/>
        <v>0</v>
      </c>
      <c r="BW36" s="142">
        <f t="shared" si="70"/>
        <v>0</v>
      </c>
      <c r="BX36" s="142">
        <f t="shared" si="70"/>
        <v>0</v>
      </c>
      <c r="BY36" s="142">
        <f t="shared" si="70"/>
        <v>0</v>
      </c>
      <c r="BZ36" s="142">
        <f t="shared" si="70"/>
        <v>0</v>
      </c>
      <c r="CA36" s="142">
        <f t="shared" si="70"/>
        <v>0</v>
      </c>
      <c r="CB36" s="142">
        <f t="shared" si="70"/>
        <v>0</v>
      </c>
      <c r="CC36" s="142">
        <f t="shared" si="70"/>
        <v>0</v>
      </c>
      <c r="CD36" s="142">
        <f t="shared" si="70"/>
        <v>0</v>
      </c>
      <c r="CE36" s="142">
        <f t="shared" si="70"/>
        <v>0</v>
      </c>
      <c r="CF36" s="142">
        <f t="shared" si="70"/>
        <v>0</v>
      </c>
      <c r="CG36" s="128">
        <f t="shared" si="70"/>
        <v>0</v>
      </c>
      <c r="CH36" s="128">
        <f t="shared" si="70"/>
        <v>0</v>
      </c>
      <c r="CI36" s="128">
        <f t="shared" si="70"/>
        <v>0</v>
      </c>
      <c r="CJ36" s="128">
        <f t="shared" si="70"/>
        <v>0</v>
      </c>
      <c r="CK36" s="128">
        <f t="shared" si="70"/>
        <v>0</v>
      </c>
      <c r="CL36" s="128">
        <f t="shared" si="70"/>
        <v>0</v>
      </c>
      <c r="CM36" s="128">
        <f t="shared" si="70"/>
        <v>0</v>
      </c>
      <c r="CN36" s="128">
        <f t="shared" si="70"/>
        <v>0</v>
      </c>
      <c r="CO36" s="128">
        <f t="shared" si="70"/>
        <v>0</v>
      </c>
      <c r="CP36" s="128">
        <f t="shared" si="70"/>
        <v>0</v>
      </c>
      <c r="CQ36" s="128">
        <f t="shared" si="70"/>
        <v>0</v>
      </c>
      <c r="CR36" s="128">
        <f t="shared" si="70"/>
        <v>0</v>
      </c>
      <c r="CS36" s="128">
        <f t="shared" si="71"/>
        <v>0</v>
      </c>
      <c r="CT36" s="128">
        <f t="shared" si="71"/>
        <v>0</v>
      </c>
      <c r="CU36" s="128">
        <f t="shared" si="71"/>
        <v>0</v>
      </c>
      <c r="CV36" s="128">
        <f t="shared" si="71"/>
        <v>0</v>
      </c>
      <c r="CW36" s="128">
        <f t="shared" si="71"/>
        <v>0</v>
      </c>
      <c r="CX36" s="128">
        <f t="shared" si="71"/>
        <v>0</v>
      </c>
      <c r="CY36" s="128">
        <f t="shared" si="71"/>
        <v>0</v>
      </c>
      <c r="CZ36" s="128">
        <f t="shared" si="71"/>
        <v>0</v>
      </c>
      <c r="DA36" s="128">
        <f t="shared" si="71"/>
        <v>0</v>
      </c>
      <c r="DB36" s="128">
        <f t="shared" si="71"/>
        <v>0</v>
      </c>
      <c r="DC36" s="128">
        <f t="shared" si="71"/>
        <v>0</v>
      </c>
      <c r="DD36" s="128">
        <f t="shared" si="71"/>
        <v>0</v>
      </c>
      <c r="DE36" s="128">
        <f t="shared" si="71"/>
        <v>0</v>
      </c>
      <c r="DF36" s="128">
        <f t="shared" si="71"/>
        <v>0</v>
      </c>
      <c r="DG36" s="128">
        <f t="shared" si="71"/>
        <v>0</v>
      </c>
      <c r="DH36" s="128">
        <f t="shared" si="70"/>
        <v>0</v>
      </c>
      <c r="DI36" s="128">
        <f t="shared" si="70"/>
        <v>0</v>
      </c>
      <c r="DJ36" s="128">
        <f t="shared" si="70"/>
        <v>0</v>
      </c>
      <c r="DK36" s="128">
        <f t="shared" si="70"/>
        <v>0</v>
      </c>
      <c r="DL36" s="128">
        <f t="shared" si="70"/>
        <v>0</v>
      </c>
      <c r="DM36" s="128">
        <f t="shared" si="70"/>
        <v>0</v>
      </c>
      <c r="DN36" s="128">
        <f t="shared" si="70"/>
        <v>0</v>
      </c>
      <c r="DO36" s="128">
        <f t="shared" si="70"/>
        <v>0</v>
      </c>
      <c r="DP36" s="128">
        <f t="shared" si="70"/>
        <v>0</v>
      </c>
      <c r="DQ36" s="128">
        <f t="shared" si="70"/>
        <v>0</v>
      </c>
      <c r="DR36" s="128">
        <f t="shared" si="70"/>
        <v>0</v>
      </c>
      <c r="DS36" s="128">
        <f t="shared" si="70"/>
        <v>0</v>
      </c>
      <c r="DT36" s="128">
        <f t="shared" si="70"/>
        <v>0</v>
      </c>
      <c r="DU36" s="128">
        <f t="shared" si="70"/>
        <v>0</v>
      </c>
      <c r="DV36" s="128">
        <f t="shared" si="70"/>
        <v>0</v>
      </c>
      <c r="DW36" s="128">
        <f t="shared" si="70"/>
        <v>0</v>
      </c>
      <c r="DX36" s="128">
        <f t="shared" si="70"/>
        <v>0</v>
      </c>
      <c r="DY36" s="128">
        <f t="shared" si="70"/>
        <v>0</v>
      </c>
      <c r="DZ36" s="128">
        <f t="shared" si="70"/>
        <v>0</v>
      </c>
      <c r="EA36" s="128">
        <f t="shared" si="70"/>
        <v>0</v>
      </c>
      <c r="EB36" s="128"/>
      <c r="EC36" s="128">
        <f t="shared" si="70"/>
        <v>0</v>
      </c>
      <c r="ED36" s="128">
        <f t="shared" si="70"/>
        <v>0</v>
      </c>
      <c r="EE36" s="128">
        <f t="shared" si="70"/>
        <v>0</v>
      </c>
      <c r="EF36" s="16">
        <f t="shared" si="70"/>
        <v>0</v>
      </c>
      <c r="EG36" s="16">
        <f t="shared" si="70"/>
        <v>0</v>
      </c>
      <c r="EH36" s="16">
        <f t="shared" si="70"/>
        <v>0</v>
      </c>
      <c r="EI36" s="149">
        <f t="shared" si="53"/>
        <v>0</v>
      </c>
      <c r="EJ36" s="132">
        <f t="shared" si="61"/>
        <v>0</v>
      </c>
    </row>
    <row r="37" spans="1:140" ht="15.6">
      <c r="A37" s="15" t="s">
        <v>141</v>
      </c>
      <c r="B37" s="15">
        <v>9</v>
      </c>
      <c r="C37" s="15" t="s">
        <v>66</v>
      </c>
      <c r="D37" s="794" t="s">
        <v>151</v>
      </c>
      <c r="E37" s="795"/>
      <c r="F37" s="17">
        <v>0.05</v>
      </c>
      <c r="G37" s="142">
        <f t="shared" si="67"/>
        <v>0</v>
      </c>
      <c r="H37" s="142">
        <f t="shared" si="67"/>
        <v>0</v>
      </c>
      <c r="I37" s="142">
        <f t="shared" si="67"/>
        <v>0</v>
      </c>
      <c r="J37" s="142">
        <f t="shared" si="67"/>
        <v>0</v>
      </c>
      <c r="K37" s="142">
        <f t="shared" si="67"/>
        <v>0</v>
      </c>
      <c r="L37" s="142">
        <f t="shared" si="67"/>
        <v>0</v>
      </c>
      <c r="M37" s="142">
        <f t="shared" si="67"/>
        <v>0</v>
      </c>
      <c r="N37" s="142">
        <f t="shared" si="67"/>
        <v>0</v>
      </c>
      <c r="O37" s="142">
        <f t="shared" si="68"/>
        <v>0</v>
      </c>
      <c r="P37" s="142">
        <f t="shared" si="68"/>
        <v>0</v>
      </c>
      <c r="Q37" s="142">
        <f t="shared" si="68"/>
        <v>0</v>
      </c>
      <c r="R37" s="142">
        <f t="shared" si="68"/>
        <v>0</v>
      </c>
      <c r="S37" s="142">
        <f t="shared" si="68"/>
        <v>0</v>
      </c>
      <c r="T37" s="142">
        <f t="shared" si="68"/>
        <v>0</v>
      </c>
      <c r="U37" s="142">
        <f t="shared" si="68"/>
        <v>0</v>
      </c>
      <c r="V37" s="142">
        <f t="shared" si="69"/>
        <v>0</v>
      </c>
      <c r="W37" s="142">
        <f t="shared" si="69"/>
        <v>0</v>
      </c>
      <c r="X37" s="142">
        <f t="shared" si="69"/>
        <v>0</v>
      </c>
      <c r="Y37" s="142">
        <f t="shared" si="69"/>
        <v>0</v>
      </c>
      <c r="Z37" s="142">
        <f t="shared" si="69"/>
        <v>0</v>
      </c>
      <c r="AA37" s="142">
        <f t="shared" si="69"/>
        <v>0</v>
      </c>
      <c r="AB37" s="142">
        <f t="shared" si="69"/>
        <v>0</v>
      </c>
      <c r="AC37" s="142">
        <f t="shared" si="69"/>
        <v>0</v>
      </c>
      <c r="AD37" s="142">
        <f t="shared" si="69"/>
        <v>0</v>
      </c>
      <c r="AE37" s="142">
        <f t="shared" si="69"/>
        <v>0</v>
      </c>
      <c r="AF37" s="142">
        <f t="shared" si="69"/>
        <v>0</v>
      </c>
      <c r="AG37" s="142">
        <f t="shared" si="69"/>
        <v>0</v>
      </c>
      <c r="AH37" s="142">
        <f t="shared" si="69"/>
        <v>0</v>
      </c>
      <c r="AI37" s="142">
        <f t="shared" si="69"/>
        <v>0</v>
      </c>
      <c r="AJ37" s="142">
        <f t="shared" si="69"/>
        <v>0</v>
      </c>
      <c r="AK37" s="142">
        <f t="shared" si="69"/>
        <v>0</v>
      </c>
      <c r="AL37" s="142">
        <f t="shared" si="69"/>
        <v>0</v>
      </c>
      <c r="AM37" s="142">
        <f t="shared" si="69"/>
        <v>0</v>
      </c>
      <c r="AN37" s="142">
        <f t="shared" si="69"/>
        <v>0</v>
      </c>
      <c r="AO37" s="142">
        <f t="shared" si="69"/>
        <v>0</v>
      </c>
      <c r="AP37" s="142">
        <f t="shared" si="69"/>
        <v>0</v>
      </c>
      <c r="AQ37" s="142">
        <f t="shared" si="69"/>
        <v>0</v>
      </c>
      <c r="AR37" s="142">
        <f t="shared" si="69"/>
        <v>0</v>
      </c>
      <c r="AS37" s="142">
        <f t="shared" si="69"/>
        <v>0</v>
      </c>
      <c r="AT37" s="142">
        <f t="shared" si="69"/>
        <v>0</v>
      </c>
      <c r="AU37" s="142">
        <f t="shared" si="69"/>
        <v>0</v>
      </c>
      <c r="AV37" s="142">
        <f t="shared" si="69"/>
        <v>0</v>
      </c>
      <c r="AW37" s="142">
        <f t="shared" si="69"/>
        <v>0</v>
      </c>
      <c r="AX37" s="142">
        <f t="shared" si="69"/>
        <v>0</v>
      </c>
      <c r="AY37" s="142">
        <f t="shared" si="69"/>
        <v>0</v>
      </c>
      <c r="AZ37" s="142">
        <f t="shared" si="69"/>
        <v>0</v>
      </c>
      <c r="BA37" s="142">
        <f t="shared" si="70"/>
        <v>0</v>
      </c>
      <c r="BB37" s="142">
        <f t="shared" si="70"/>
        <v>0</v>
      </c>
      <c r="BC37" s="142">
        <f t="shared" si="70"/>
        <v>0</v>
      </c>
      <c r="BD37" s="142">
        <f t="shared" si="70"/>
        <v>0</v>
      </c>
      <c r="BE37" s="142">
        <f t="shared" si="70"/>
        <v>0</v>
      </c>
      <c r="BF37" s="142">
        <f t="shared" si="70"/>
        <v>0</v>
      </c>
      <c r="BG37" s="142">
        <f t="shared" si="72"/>
        <v>0</v>
      </c>
      <c r="BH37" s="142">
        <f t="shared" si="72"/>
        <v>0</v>
      </c>
      <c r="BI37" s="142">
        <f t="shared" si="72"/>
        <v>0</v>
      </c>
      <c r="BJ37" s="142">
        <f t="shared" si="72"/>
        <v>0</v>
      </c>
      <c r="BK37" s="142">
        <f t="shared" si="72"/>
        <v>0</v>
      </c>
      <c r="BL37" s="142">
        <f t="shared" si="72"/>
        <v>0</v>
      </c>
      <c r="BM37" s="142">
        <f t="shared" si="72"/>
        <v>0</v>
      </c>
      <c r="BN37" s="142">
        <f t="shared" si="72"/>
        <v>0</v>
      </c>
      <c r="BO37" s="142">
        <f t="shared" si="72"/>
        <v>0</v>
      </c>
      <c r="BP37" s="142">
        <f t="shared" si="72"/>
        <v>0</v>
      </c>
      <c r="BQ37" s="142">
        <f t="shared" si="72"/>
        <v>0</v>
      </c>
      <c r="BR37" s="142">
        <f t="shared" si="72"/>
        <v>0</v>
      </c>
      <c r="BS37" s="142">
        <f t="shared" si="72"/>
        <v>0</v>
      </c>
      <c r="BT37" s="142">
        <f t="shared" si="70"/>
        <v>0</v>
      </c>
      <c r="BU37" s="142">
        <f t="shared" si="70"/>
        <v>0</v>
      </c>
      <c r="BV37" s="142">
        <f t="shared" si="70"/>
        <v>0</v>
      </c>
      <c r="BW37" s="142">
        <f t="shared" si="70"/>
        <v>0</v>
      </c>
      <c r="BX37" s="142">
        <f t="shared" si="70"/>
        <v>0</v>
      </c>
      <c r="BY37" s="142">
        <f t="shared" si="70"/>
        <v>0</v>
      </c>
      <c r="BZ37" s="142">
        <f t="shared" si="70"/>
        <v>0</v>
      </c>
      <c r="CA37" s="142">
        <f t="shared" si="70"/>
        <v>0</v>
      </c>
      <c r="CB37" s="142">
        <f t="shared" si="70"/>
        <v>0</v>
      </c>
      <c r="CC37" s="142">
        <f t="shared" si="70"/>
        <v>0</v>
      </c>
      <c r="CD37" s="142">
        <f t="shared" si="70"/>
        <v>0</v>
      </c>
      <c r="CE37" s="142">
        <f t="shared" si="70"/>
        <v>0</v>
      </c>
      <c r="CF37" s="142">
        <f t="shared" si="70"/>
        <v>0</v>
      </c>
      <c r="CG37" s="128">
        <f t="shared" si="70"/>
        <v>0</v>
      </c>
      <c r="CH37" s="128">
        <f t="shared" si="70"/>
        <v>0</v>
      </c>
      <c r="CI37" s="128">
        <f t="shared" si="70"/>
        <v>0</v>
      </c>
      <c r="CJ37" s="128">
        <f t="shared" ref="BA37:EH41" si="73">ROUNDUP($F37*CJ$4,0)</f>
        <v>0</v>
      </c>
      <c r="CK37" s="128">
        <f t="shared" si="73"/>
        <v>0</v>
      </c>
      <c r="CL37" s="128">
        <f t="shared" si="73"/>
        <v>0</v>
      </c>
      <c r="CM37" s="128">
        <f t="shared" si="73"/>
        <v>0</v>
      </c>
      <c r="CN37" s="128">
        <f t="shared" si="73"/>
        <v>0</v>
      </c>
      <c r="CO37" s="128">
        <f t="shared" si="73"/>
        <v>0</v>
      </c>
      <c r="CP37" s="128">
        <f t="shared" si="73"/>
        <v>0</v>
      </c>
      <c r="CQ37" s="128">
        <f t="shared" si="73"/>
        <v>0</v>
      </c>
      <c r="CR37" s="128">
        <f t="shared" si="73"/>
        <v>0</v>
      </c>
      <c r="CS37" s="128">
        <f t="shared" si="71"/>
        <v>0</v>
      </c>
      <c r="CT37" s="128">
        <f t="shared" si="71"/>
        <v>0</v>
      </c>
      <c r="CU37" s="128">
        <f t="shared" si="71"/>
        <v>0</v>
      </c>
      <c r="CV37" s="128">
        <f t="shared" si="71"/>
        <v>0</v>
      </c>
      <c r="CW37" s="128">
        <f t="shared" si="71"/>
        <v>0</v>
      </c>
      <c r="CX37" s="128">
        <f t="shared" si="71"/>
        <v>0</v>
      </c>
      <c r="CY37" s="128">
        <f t="shared" si="71"/>
        <v>0</v>
      </c>
      <c r="CZ37" s="128">
        <f t="shared" si="71"/>
        <v>0</v>
      </c>
      <c r="DA37" s="128">
        <f t="shared" si="71"/>
        <v>0</v>
      </c>
      <c r="DB37" s="128">
        <f t="shared" si="71"/>
        <v>0</v>
      </c>
      <c r="DC37" s="128">
        <f t="shared" si="71"/>
        <v>0</v>
      </c>
      <c r="DD37" s="128">
        <f t="shared" si="71"/>
        <v>0</v>
      </c>
      <c r="DE37" s="128">
        <f t="shared" si="71"/>
        <v>0</v>
      </c>
      <c r="DF37" s="128">
        <f t="shared" si="71"/>
        <v>0</v>
      </c>
      <c r="DG37" s="128">
        <f t="shared" si="71"/>
        <v>0</v>
      </c>
      <c r="DH37" s="128">
        <f t="shared" si="73"/>
        <v>0</v>
      </c>
      <c r="DI37" s="128">
        <f t="shared" si="73"/>
        <v>0</v>
      </c>
      <c r="DJ37" s="128">
        <f t="shared" si="73"/>
        <v>0</v>
      </c>
      <c r="DK37" s="128">
        <f t="shared" si="73"/>
        <v>0</v>
      </c>
      <c r="DL37" s="128">
        <f t="shared" si="73"/>
        <v>0</v>
      </c>
      <c r="DM37" s="128">
        <f t="shared" si="73"/>
        <v>0</v>
      </c>
      <c r="DN37" s="128">
        <f t="shared" si="73"/>
        <v>0</v>
      </c>
      <c r="DO37" s="128">
        <f t="shared" si="73"/>
        <v>0</v>
      </c>
      <c r="DP37" s="128">
        <f t="shared" si="73"/>
        <v>0</v>
      </c>
      <c r="DQ37" s="128">
        <f t="shared" si="73"/>
        <v>0</v>
      </c>
      <c r="DR37" s="128">
        <f t="shared" si="73"/>
        <v>0</v>
      </c>
      <c r="DS37" s="128">
        <f t="shared" si="73"/>
        <v>0</v>
      </c>
      <c r="DT37" s="128">
        <f t="shared" si="73"/>
        <v>0</v>
      </c>
      <c r="DU37" s="128">
        <f t="shared" si="73"/>
        <v>0</v>
      </c>
      <c r="DV37" s="128">
        <f t="shared" si="73"/>
        <v>0</v>
      </c>
      <c r="DW37" s="128">
        <f t="shared" si="73"/>
        <v>0</v>
      </c>
      <c r="DX37" s="128">
        <f t="shared" si="73"/>
        <v>0</v>
      </c>
      <c r="DY37" s="128">
        <f t="shared" si="73"/>
        <v>0</v>
      </c>
      <c r="DZ37" s="128">
        <f t="shared" si="73"/>
        <v>0</v>
      </c>
      <c r="EA37" s="128">
        <f t="shared" si="73"/>
        <v>0</v>
      </c>
      <c r="EB37" s="128"/>
      <c r="EC37" s="128">
        <f t="shared" si="73"/>
        <v>0</v>
      </c>
      <c r="ED37" s="128">
        <f t="shared" si="73"/>
        <v>0</v>
      </c>
      <c r="EE37" s="128">
        <f t="shared" si="73"/>
        <v>0</v>
      </c>
      <c r="EF37" s="16">
        <f t="shared" si="73"/>
        <v>0</v>
      </c>
      <c r="EG37" s="16">
        <f t="shared" si="73"/>
        <v>0</v>
      </c>
      <c r="EH37" s="16">
        <f t="shared" si="73"/>
        <v>0</v>
      </c>
      <c r="EI37" s="149">
        <f t="shared" si="53"/>
        <v>0</v>
      </c>
      <c r="EJ37" s="132">
        <f>ROUNDUP(EI37*$B$6,0)</f>
        <v>0</v>
      </c>
    </row>
    <row r="38" spans="1:140" ht="15.6">
      <c r="A38" s="15" t="s">
        <v>141</v>
      </c>
      <c r="B38" s="15">
        <v>10</v>
      </c>
      <c r="C38" s="15" t="s">
        <v>150</v>
      </c>
      <c r="D38" s="794" t="s">
        <v>149</v>
      </c>
      <c r="E38" s="795"/>
      <c r="F38" s="17">
        <f>1/3</f>
        <v>0.33333333333333331</v>
      </c>
      <c r="G38" s="142">
        <f t="shared" si="67"/>
        <v>0</v>
      </c>
      <c r="H38" s="142">
        <f t="shared" si="67"/>
        <v>0</v>
      </c>
      <c r="I38" s="142">
        <f t="shared" si="67"/>
        <v>0</v>
      </c>
      <c r="J38" s="142">
        <f t="shared" si="67"/>
        <v>0</v>
      </c>
      <c r="K38" s="142">
        <f t="shared" si="67"/>
        <v>0</v>
      </c>
      <c r="L38" s="142">
        <f t="shared" si="67"/>
        <v>0</v>
      </c>
      <c r="M38" s="142">
        <f t="shared" si="67"/>
        <v>0</v>
      </c>
      <c r="N38" s="142">
        <f t="shared" si="67"/>
        <v>0</v>
      </c>
      <c r="O38" s="142">
        <f t="shared" si="68"/>
        <v>0</v>
      </c>
      <c r="P38" s="142">
        <f t="shared" si="68"/>
        <v>0</v>
      </c>
      <c r="Q38" s="142">
        <f t="shared" si="68"/>
        <v>0</v>
      </c>
      <c r="R38" s="142">
        <f t="shared" si="68"/>
        <v>0</v>
      </c>
      <c r="S38" s="142">
        <f t="shared" si="68"/>
        <v>0</v>
      </c>
      <c r="T38" s="142">
        <f t="shared" si="68"/>
        <v>0</v>
      </c>
      <c r="U38" s="142">
        <f t="shared" si="68"/>
        <v>0</v>
      </c>
      <c r="V38" s="142">
        <f t="shared" si="69"/>
        <v>0</v>
      </c>
      <c r="W38" s="142">
        <f t="shared" si="69"/>
        <v>0</v>
      </c>
      <c r="X38" s="142">
        <f t="shared" si="69"/>
        <v>0</v>
      </c>
      <c r="Y38" s="142">
        <f t="shared" si="69"/>
        <v>0</v>
      </c>
      <c r="Z38" s="142">
        <f t="shared" si="69"/>
        <v>0</v>
      </c>
      <c r="AA38" s="142">
        <f t="shared" si="69"/>
        <v>0</v>
      </c>
      <c r="AB38" s="142">
        <f t="shared" si="69"/>
        <v>0</v>
      </c>
      <c r="AC38" s="142">
        <f t="shared" si="69"/>
        <v>0</v>
      </c>
      <c r="AD38" s="142">
        <f t="shared" si="69"/>
        <v>0</v>
      </c>
      <c r="AE38" s="142">
        <f t="shared" si="69"/>
        <v>0</v>
      </c>
      <c r="AF38" s="142">
        <f t="shared" si="69"/>
        <v>0</v>
      </c>
      <c r="AG38" s="142">
        <f t="shared" si="69"/>
        <v>0</v>
      </c>
      <c r="AH38" s="142">
        <f t="shared" si="69"/>
        <v>0</v>
      </c>
      <c r="AI38" s="142">
        <f t="shared" si="69"/>
        <v>0</v>
      </c>
      <c r="AJ38" s="142">
        <f t="shared" si="69"/>
        <v>0</v>
      </c>
      <c r="AK38" s="142">
        <f t="shared" si="69"/>
        <v>0</v>
      </c>
      <c r="AL38" s="142">
        <f t="shared" si="69"/>
        <v>0</v>
      </c>
      <c r="AM38" s="142">
        <f t="shared" si="69"/>
        <v>0</v>
      </c>
      <c r="AN38" s="142">
        <f t="shared" si="69"/>
        <v>0</v>
      </c>
      <c r="AO38" s="142">
        <f t="shared" si="69"/>
        <v>0</v>
      </c>
      <c r="AP38" s="142">
        <f t="shared" si="69"/>
        <v>0</v>
      </c>
      <c r="AQ38" s="142">
        <f t="shared" ref="V38:AZ45" si="74">ROUNDUP($F38*AQ$4,0)</f>
        <v>0</v>
      </c>
      <c r="AR38" s="142">
        <f t="shared" si="74"/>
        <v>0</v>
      </c>
      <c r="AS38" s="142">
        <f t="shared" si="74"/>
        <v>0</v>
      </c>
      <c r="AT38" s="142">
        <f t="shared" si="74"/>
        <v>0</v>
      </c>
      <c r="AU38" s="142">
        <f t="shared" si="74"/>
        <v>0</v>
      </c>
      <c r="AV38" s="142">
        <f t="shared" si="74"/>
        <v>0</v>
      </c>
      <c r="AW38" s="142">
        <f t="shared" si="74"/>
        <v>0</v>
      </c>
      <c r="AX38" s="142">
        <f t="shared" si="74"/>
        <v>0</v>
      </c>
      <c r="AY38" s="142">
        <f t="shared" si="74"/>
        <v>0</v>
      </c>
      <c r="AZ38" s="142">
        <f t="shared" si="74"/>
        <v>0</v>
      </c>
      <c r="BA38" s="142">
        <f t="shared" si="73"/>
        <v>0</v>
      </c>
      <c r="BB38" s="142">
        <f t="shared" si="73"/>
        <v>0</v>
      </c>
      <c r="BC38" s="142">
        <f t="shared" si="73"/>
        <v>0</v>
      </c>
      <c r="BD38" s="142">
        <f t="shared" si="73"/>
        <v>0</v>
      </c>
      <c r="BE38" s="142">
        <f t="shared" si="73"/>
        <v>0</v>
      </c>
      <c r="BF38" s="142">
        <f t="shared" si="73"/>
        <v>0</v>
      </c>
      <c r="BG38" s="142">
        <f t="shared" si="73"/>
        <v>0</v>
      </c>
      <c r="BH38" s="142">
        <f t="shared" si="73"/>
        <v>0</v>
      </c>
      <c r="BI38" s="142">
        <f t="shared" si="73"/>
        <v>0</v>
      </c>
      <c r="BJ38" s="142">
        <f t="shared" si="73"/>
        <v>0</v>
      </c>
      <c r="BK38" s="142">
        <f t="shared" si="73"/>
        <v>0</v>
      </c>
      <c r="BL38" s="142">
        <f t="shared" si="73"/>
        <v>0</v>
      </c>
      <c r="BM38" s="142">
        <f t="shared" si="73"/>
        <v>0</v>
      </c>
      <c r="BN38" s="142">
        <f t="shared" si="73"/>
        <v>0</v>
      </c>
      <c r="BO38" s="142">
        <f t="shared" si="73"/>
        <v>0</v>
      </c>
      <c r="BP38" s="142">
        <f t="shared" si="73"/>
        <v>0</v>
      </c>
      <c r="BQ38" s="142">
        <f t="shared" si="73"/>
        <v>0</v>
      </c>
      <c r="BR38" s="142">
        <f t="shared" si="73"/>
        <v>0</v>
      </c>
      <c r="BS38" s="142">
        <f t="shared" si="73"/>
        <v>0</v>
      </c>
      <c r="BT38" s="142">
        <f t="shared" si="73"/>
        <v>0</v>
      </c>
      <c r="BU38" s="142">
        <f t="shared" si="73"/>
        <v>0</v>
      </c>
      <c r="BV38" s="142">
        <f t="shared" si="73"/>
        <v>0</v>
      </c>
      <c r="BW38" s="142">
        <f t="shared" si="73"/>
        <v>0</v>
      </c>
      <c r="BX38" s="142">
        <f t="shared" si="73"/>
        <v>0</v>
      </c>
      <c r="BY38" s="142">
        <f t="shared" si="73"/>
        <v>0</v>
      </c>
      <c r="BZ38" s="142">
        <f t="shared" si="73"/>
        <v>0</v>
      </c>
      <c r="CA38" s="142">
        <f t="shared" si="73"/>
        <v>0</v>
      </c>
      <c r="CB38" s="142">
        <f t="shared" si="73"/>
        <v>0</v>
      </c>
      <c r="CC38" s="142">
        <f t="shared" si="73"/>
        <v>0</v>
      </c>
      <c r="CD38" s="142">
        <f t="shared" si="73"/>
        <v>0</v>
      </c>
      <c r="CE38" s="142">
        <f t="shared" si="73"/>
        <v>0</v>
      </c>
      <c r="CF38" s="142">
        <f t="shared" si="73"/>
        <v>0</v>
      </c>
      <c r="CG38" s="128">
        <f t="shared" si="73"/>
        <v>0</v>
      </c>
      <c r="CH38" s="128">
        <f t="shared" si="73"/>
        <v>0</v>
      </c>
      <c r="CI38" s="128">
        <f t="shared" si="73"/>
        <v>0</v>
      </c>
      <c r="CJ38" s="128">
        <f t="shared" si="73"/>
        <v>0</v>
      </c>
      <c r="CK38" s="128">
        <f t="shared" si="73"/>
        <v>0</v>
      </c>
      <c r="CL38" s="128">
        <f t="shared" si="73"/>
        <v>0</v>
      </c>
      <c r="CM38" s="128">
        <f t="shared" si="73"/>
        <v>0</v>
      </c>
      <c r="CN38" s="128">
        <f t="shared" si="73"/>
        <v>0</v>
      </c>
      <c r="CO38" s="128">
        <f t="shared" si="73"/>
        <v>0</v>
      </c>
      <c r="CP38" s="128">
        <f t="shared" si="73"/>
        <v>0</v>
      </c>
      <c r="CQ38" s="128">
        <f t="shared" si="73"/>
        <v>0</v>
      </c>
      <c r="CR38" s="128">
        <f t="shared" si="73"/>
        <v>0</v>
      </c>
      <c r="CS38" s="128">
        <f t="shared" si="71"/>
        <v>0</v>
      </c>
      <c r="CT38" s="128">
        <f t="shared" si="71"/>
        <v>0</v>
      </c>
      <c r="CU38" s="128">
        <f t="shared" si="71"/>
        <v>0</v>
      </c>
      <c r="CV38" s="128">
        <f t="shared" si="71"/>
        <v>0</v>
      </c>
      <c r="CW38" s="128">
        <f t="shared" si="71"/>
        <v>0</v>
      </c>
      <c r="CX38" s="128">
        <f t="shared" si="71"/>
        <v>0</v>
      </c>
      <c r="CY38" s="128">
        <f t="shared" si="71"/>
        <v>0</v>
      </c>
      <c r="CZ38" s="128">
        <f t="shared" si="71"/>
        <v>0</v>
      </c>
      <c r="DA38" s="128">
        <f t="shared" si="71"/>
        <v>0</v>
      </c>
      <c r="DB38" s="128">
        <f t="shared" si="71"/>
        <v>0</v>
      </c>
      <c r="DC38" s="128">
        <f t="shared" si="71"/>
        <v>0</v>
      </c>
      <c r="DD38" s="128">
        <f t="shared" si="71"/>
        <v>0</v>
      </c>
      <c r="DE38" s="128">
        <f t="shared" si="71"/>
        <v>0</v>
      </c>
      <c r="DF38" s="128">
        <f t="shared" si="71"/>
        <v>0</v>
      </c>
      <c r="DG38" s="128">
        <f t="shared" si="71"/>
        <v>0</v>
      </c>
      <c r="DH38" s="128">
        <f t="shared" si="73"/>
        <v>0</v>
      </c>
      <c r="DI38" s="128">
        <f t="shared" si="73"/>
        <v>0</v>
      </c>
      <c r="DJ38" s="128">
        <f t="shared" si="73"/>
        <v>0</v>
      </c>
      <c r="DK38" s="128">
        <f t="shared" si="73"/>
        <v>0</v>
      </c>
      <c r="DL38" s="128">
        <f t="shared" si="73"/>
        <v>0</v>
      </c>
      <c r="DM38" s="128">
        <f t="shared" si="73"/>
        <v>0</v>
      </c>
      <c r="DN38" s="128">
        <f t="shared" si="73"/>
        <v>0</v>
      </c>
      <c r="DO38" s="128">
        <f t="shared" si="73"/>
        <v>0</v>
      </c>
      <c r="DP38" s="128">
        <f t="shared" si="73"/>
        <v>0</v>
      </c>
      <c r="DQ38" s="128">
        <f t="shared" si="73"/>
        <v>0</v>
      </c>
      <c r="DR38" s="128">
        <f t="shared" si="73"/>
        <v>0</v>
      </c>
      <c r="DS38" s="128">
        <f t="shared" si="73"/>
        <v>0</v>
      </c>
      <c r="DT38" s="128">
        <f t="shared" si="73"/>
        <v>0</v>
      </c>
      <c r="DU38" s="128">
        <f t="shared" si="73"/>
        <v>0</v>
      </c>
      <c r="DV38" s="128">
        <f t="shared" si="73"/>
        <v>0</v>
      </c>
      <c r="DW38" s="128">
        <f t="shared" si="73"/>
        <v>0</v>
      </c>
      <c r="DX38" s="128">
        <f t="shared" si="73"/>
        <v>0</v>
      </c>
      <c r="DY38" s="128">
        <f t="shared" si="73"/>
        <v>0</v>
      </c>
      <c r="DZ38" s="128">
        <f t="shared" si="73"/>
        <v>0</v>
      </c>
      <c r="EA38" s="128">
        <f t="shared" si="73"/>
        <v>0</v>
      </c>
      <c r="EB38" s="128"/>
      <c r="EC38" s="128">
        <f t="shared" si="73"/>
        <v>0</v>
      </c>
      <c r="ED38" s="128">
        <f t="shared" si="73"/>
        <v>0</v>
      </c>
      <c r="EE38" s="128">
        <f t="shared" si="73"/>
        <v>0</v>
      </c>
      <c r="EF38" s="16">
        <f t="shared" si="73"/>
        <v>0</v>
      </c>
      <c r="EG38" s="16">
        <f t="shared" si="73"/>
        <v>0</v>
      </c>
      <c r="EH38" s="16">
        <f t="shared" si="73"/>
        <v>0</v>
      </c>
      <c r="EI38" s="149">
        <f t="shared" si="53"/>
        <v>0</v>
      </c>
      <c r="EJ38" s="132">
        <f t="shared" si="61"/>
        <v>0</v>
      </c>
    </row>
    <row r="39" spans="1:140" ht="15.6">
      <c r="A39" s="15" t="s">
        <v>141</v>
      </c>
      <c r="B39" s="15">
        <v>11</v>
      </c>
      <c r="C39" s="15" t="s">
        <v>148</v>
      </c>
      <c r="D39" s="794" t="s">
        <v>147</v>
      </c>
      <c r="E39" s="795"/>
      <c r="F39" s="17">
        <f>1/3</f>
        <v>0.33333333333333331</v>
      </c>
      <c r="G39" s="142">
        <f t="shared" si="67"/>
        <v>0</v>
      </c>
      <c r="H39" s="142">
        <f t="shared" si="67"/>
        <v>0</v>
      </c>
      <c r="I39" s="142">
        <f t="shared" si="67"/>
        <v>0</v>
      </c>
      <c r="J39" s="142">
        <f t="shared" si="67"/>
        <v>0</v>
      </c>
      <c r="K39" s="142">
        <f t="shared" si="67"/>
        <v>0</v>
      </c>
      <c r="L39" s="142">
        <f t="shared" si="67"/>
        <v>0</v>
      </c>
      <c r="M39" s="142">
        <f t="shared" si="67"/>
        <v>0</v>
      </c>
      <c r="N39" s="142">
        <f t="shared" si="67"/>
        <v>0</v>
      </c>
      <c r="O39" s="142">
        <f t="shared" si="68"/>
        <v>0</v>
      </c>
      <c r="P39" s="142">
        <f t="shared" si="68"/>
        <v>0</v>
      </c>
      <c r="Q39" s="142">
        <f t="shared" si="68"/>
        <v>0</v>
      </c>
      <c r="R39" s="142">
        <f t="shared" si="68"/>
        <v>0</v>
      </c>
      <c r="S39" s="142">
        <f t="shared" si="68"/>
        <v>0</v>
      </c>
      <c r="T39" s="142">
        <f t="shared" si="68"/>
        <v>0</v>
      </c>
      <c r="U39" s="142">
        <f t="shared" si="68"/>
        <v>0</v>
      </c>
      <c r="V39" s="142">
        <f t="shared" si="74"/>
        <v>0</v>
      </c>
      <c r="W39" s="142">
        <f t="shared" si="74"/>
        <v>0</v>
      </c>
      <c r="X39" s="142">
        <f t="shared" si="74"/>
        <v>0</v>
      </c>
      <c r="Y39" s="142">
        <f t="shared" si="74"/>
        <v>0</v>
      </c>
      <c r="Z39" s="142">
        <f t="shared" si="74"/>
        <v>0</v>
      </c>
      <c r="AA39" s="142">
        <f t="shared" si="74"/>
        <v>0</v>
      </c>
      <c r="AB39" s="142">
        <f t="shared" si="74"/>
        <v>0</v>
      </c>
      <c r="AC39" s="142">
        <f t="shared" si="74"/>
        <v>0</v>
      </c>
      <c r="AD39" s="142">
        <f t="shared" si="74"/>
        <v>0</v>
      </c>
      <c r="AE39" s="142">
        <f t="shared" si="74"/>
        <v>0</v>
      </c>
      <c r="AF39" s="142">
        <f t="shared" si="74"/>
        <v>0</v>
      </c>
      <c r="AG39" s="142">
        <f t="shared" si="74"/>
        <v>0</v>
      </c>
      <c r="AH39" s="142">
        <f t="shared" si="74"/>
        <v>0</v>
      </c>
      <c r="AI39" s="142">
        <f t="shared" si="74"/>
        <v>0</v>
      </c>
      <c r="AJ39" s="142">
        <f t="shared" si="74"/>
        <v>0</v>
      </c>
      <c r="AK39" s="142">
        <f t="shared" si="74"/>
        <v>0</v>
      </c>
      <c r="AL39" s="142">
        <f t="shared" si="74"/>
        <v>0</v>
      </c>
      <c r="AM39" s="142">
        <f t="shared" si="74"/>
        <v>0</v>
      </c>
      <c r="AN39" s="142">
        <f t="shared" si="74"/>
        <v>0</v>
      </c>
      <c r="AO39" s="142">
        <f t="shared" si="74"/>
        <v>0</v>
      </c>
      <c r="AP39" s="142">
        <f t="shared" si="74"/>
        <v>0</v>
      </c>
      <c r="AQ39" s="142">
        <f t="shared" si="74"/>
        <v>0</v>
      </c>
      <c r="AR39" s="142">
        <f t="shared" si="74"/>
        <v>0</v>
      </c>
      <c r="AS39" s="142">
        <f t="shared" si="74"/>
        <v>0</v>
      </c>
      <c r="AT39" s="142">
        <f t="shared" si="74"/>
        <v>0</v>
      </c>
      <c r="AU39" s="142">
        <f t="shared" si="74"/>
        <v>0</v>
      </c>
      <c r="AV39" s="142">
        <f t="shared" si="74"/>
        <v>0</v>
      </c>
      <c r="AW39" s="142">
        <f t="shared" si="74"/>
        <v>0</v>
      </c>
      <c r="AX39" s="142">
        <f t="shared" si="74"/>
        <v>0</v>
      </c>
      <c r="AY39" s="142">
        <f t="shared" si="74"/>
        <v>0</v>
      </c>
      <c r="AZ39" s="142">
        <f t="shared" si="74"/>
        <v>0</v>
      </c>
      <c r="BA39" s="142">
        <f t="shared" si="73"/>
        <v>0</v>
      </c>
      <c r="BB39" s="142">
        <f t="shared" si="73"/>
        <v>0</v>
      </c>
      <c r="BC39" s="142">
        <f t="shared" si="73"/>
        <v>0</v>
      </c>
      <c r="BD39" s="142">
        <f t="shared" si="73"/>
        <v>0</v>
      </c>
      <c r="BE39" s="142">
        <f t="shared" si="73"/>
        <v>0</v>
      </c>
      <c r="BF39" s="142">
        <f t="shared" si="73"/>
        <v>0</v>
      </c>
      <c r="BG39" s="142">
        <f t="shared" si="73"/>
        <v>0</v>
      </c>
      <c r="BH39" s="142">
        <f t="shared" si="73"/>
        <v>0</v>
      </c>
      <c r="BI39" s="142">
        <f t="shared" si="73"/>
        <v>0</v>
      </c>
      <c r="BJ39" s="142">
        <f t="shared" ref="BG39:BS41" si="75">ROUNDUP($F39*BJ$4,0)</f>
        <v>0</v>
      </c>
      <c r="BK39" s="142">
        <f t="shared" si="75"/>
        <v>0</v>
      </c>
      <c r="BL39" s="142">
        <f t="shared" si="75"/>
        <v>0</v>
      </c>
      <c r="BM39" s="142">
        <f t="shared" si="75"/>
        <v>0</v>
      </c>
      <c r="BN39" s="142">
        <f t="shared" si="75"/>
        <v>0</v>
      </c>
      <c r="BO39" s="142">
        <f t="shared" si="75"/>
        <v>0</v>
      </c>
      <c r="BP39" s="142">
        <f t="shared" si="75"/>
        <v>0</v>
      </c>
      <c r="BQ39" s="142">
        <f t="shared" si="75"/>
        <v>0</v>
      </c>
      <c r="BR39" s="142">
        <f t="shared" si="75"/>
        <v>0</v>
      </c>
      <c r="BS39" s="142">
        <f t="shared" si="75"/>
        <v>0</v>
      </c>
      <c r="BT39" s="142">
        <f t="shared" si="73"/>
        <v>0</v>
      </c>
      <c r="BU39" s="142">
        <f t="shared" si="73"/>
        <v>0</v>
      </c>
      <c r="BV39" s="142">
        <f t="shared" si="73"/>
        <v>0</v>
      </c>
      <c r="BW39" s="142">
        <f t="shared" si="73"/>
        <v>0</v>
      </c>
      <c r="BX39" s="142">
        <f t="shared" si="73"/>
        <v>0</v>
      </c>
      <c r="BY39" s="142">
        <f t="shared" si="73"/>
        <v>0</v>
      </c>
      <c r="BZ39" s="142">
        <f t="shared" si="73"/>
        <v>0</v>
      </c>
      <c r="CA39" s="142">
        <f t="shared" si="73"/>
        <v>0</v>
      </c>
      <c r="CB39" s="142">
        <f t="shared" si="73"/>
        <v>0</v>
      </c>
      <c r="CC39" s="142">
        <f t="shared" si="73"/>
        <v>0</v>
      </c>
      <c r="CD39" s="142">
        <f t="shared" si="73"/>
        <v>0</v>
      </c>
      <c r="CE39" s="142">
        <f t="shared" si="73"/>
        <v>0</v>
      </c>
      <c r="CF39" s="142">
        <f t="shared" si="73"/>
        <v>0</v>
      </c>
      <c r="CG39" s="128">
        <f t="shared" si="73"/>
        <v>0</v>
      </c>
      <c r="CH39" s="128">
        <f t="shared" si="73"/>
        <v>0</v>
      </c>
      <c r="CI39" s="128">
        <f t="shared" si="73"/>
        <v>0</v>
      </c>
      <c r="CJ39" s="128">
        <f t="shared" si="73"/>
        <v>0</v>
      </c>
      <c r="CK39" s="128">
        <f t="shared" si="73"/>
        <v>0</v>
      </c>
      <c r="CL39" s="128">
        <f t="shared" si="73"/>
        <v>0</v>
      </c>
      <c r="CM39" s="128">
        <f t="shared" si="73"/>
        <v>0</v>
      </c>
      <c r="CN39" s="128">
        <f t="shared" si="73"/>
        <v>0</v>
      </c>
      <c r="CO39" s="128">
        <f t="shared" si="73"/>
        <v>0</v>
      </c>
      <c r="CP39" s="128">
        <f t="shared" si="73"/>
        <v>0</v>
      </c>
      <c r="CQ39" s="128">
        <f t="shared" si="73"/>
        <v>0</v>
      </c>
      <c r="CR39" s="128">
        <f t="shared" si="73"/>
        <v>0</v>
      </c>
      <c r="CS39" s="128">
        <f t="shared" si="71"/>
        <v>0</v>
      </c>
      <c r="CT39" s="128">
        <f t="shared" si="71"/>
        <v>0</v>
      </c>
      <c r="CU39" s="128">
        <f t="shared" si="71"/>
        <v>0</v>
      </c>
      <c r="CV39" s="128">
        <f t="shared" si="71"/>
        <v>0</v>
      </c>
      <c r="CW39" s="128">
        <f t="shared" si="71"/>
        <v>0</v>
      </c>
      <c r="CX39" s="128">
        <f t="shared" si="71"/>
        <v>0</v>
      </c>
      <c r="CY39" s="128">
        <f t="shared" si="71"/>
        <v>0</v>
      </c>
      <c r="CZ39" s="128">
        <f t="shared" si="71"/>
        <v>0</v>
      </c>
      <c r="DA39" s="128">
        <f t="shared" si="71"/>
        <v>0</v>
      </c>
      <c r="DB39" s="128">
        <f t="shared" si="71"/>
        <v>0</v>
      </c>
      <c r="DC39" s="128">
        <f t="shared" si="71"/>
        <v>0</v>
      </c>
      <c r="DD39" s="128">
        <f t="shared" si="71"/>
        <v>0</v>
      </c>
      <c r="DE39" s="128">
        <f t="shared" si="71"/>
        <v>0</v>
      </c>
      <c r="DF39" s="128">
        <f t="shared" si="71"/>
        <v>0</v>
      </c>
      <c r="DG39" s="128">
        <f t="shared" si="71"/>
        <v>0</v>
      </c>
      <c r="DH39" s="128">
        <f t="shared" si="73"/>
        <v>0</v>
      </c>
      <c r="DI39" s="128">
        <f t="shared" si="73"/>
        <v>0</v>
      </c>
      <c r="DJ39" s="128">
        <f t="shared" si="73"/>
        <v>0</v>
      </c>
      <c r="DK39" s="128">
        <f t="shared" si="73"/>
        <v>0</v>
      </c>
      <c r="DL39" s="128">
        <f t="shared" si="73"/>
        <v>0</v>
      </c>
      <c r="DM39" s="128">
        <f t="shared" si="73"/>
        <v>0</v>
      </c>
      <c r="DN39" s="128">
        <f t="shared" si="73"/>
        <v>0</v>
      </c>
      <c r="DO39" s="128">
        <f t="shared" si="73"/>
        <v>0</v>
      </c>
      <c r="DP39" s="128">
        <f t="shared" si="73"/>
        <v>0</v>
      </c>
      <c r="DQ39" s="128">
        <f t="shared" si="73"/>
        <v>0</v>
      </c>
      <c r="DR39" s="128">
        <f t="shared" si="73"/>
        <v>0</v>
      </c>
      <c r="DS39" s="128">
        <f t="shared" si="73"/>
        <v>0</v>
      </c>
      <c r="DT39" s="128">
        <f t="shared" si="73"/>
        <v>0</v>
      </c>
      <c r="DU39" s="128">
        <f t="shared" si="73"/>
        <v>0</v>
      </c>
      <c r="DV39" s="128">
        <f t="shared" si="73"/>
        <v>0</v>
      </c>
      <c r="DW39" s="128">
        <f t="shared" si="73"/>
        <v>0</v>
      </c>
      <c r="DX39" s="128">
        <f t="shared" si="73"/>
        <v>0</v>
      </c>
      <c r="DY39" s="128">
        <f t="shared" si="73"/>
        <v>0</v>
      </c>
      <c r="DZ39" s="128">
        <f t="shared" si="73"/>
        <v>0</v>
      </c>
      <c r="EA39" s="128">
        <f t="shared" si="73"/>
        <v>0</v>
      </c>
      <c r="EB39" s="128"/>
      <c r="EC39" s="128">
        <f t="shared" si="73"/>
        <v>0</v>
      </c>
      <c r="ED39" s="128">
        <f t="shared" si="73"/>
        <v>0</v>
      </c>
      <c r="EE39" s="128">
        <f t="shared" si="73"/>
        <v>0</v>
      </c>
      <c r="EF39" s="16">
        <f t="shared" si="73"/>
        <v>0</v>
      </c>
      <c r="EG39" s="16">
        <f t="shared" si="73"/>
        <v>0</v>
      </c>
      <c r="EH39" s="16">
        <f t="shared" si="73"/>
        <v>0</v>
      </c>
      <c r="EI39" s="149">
        <f t="shared" si="53"/>
        <v>0</v>
      </c>
      <c r="EJ39" s="132">
        <f t="shared" si="61"/>
        <v>0</v>
      </c>
    </row>
    <row r="40" spans="1:140" ht="15.6">
      <c r="A40" s="15" t="s">
        <v>141</v>
      </c>
      <c r="B40" s="15">
        <v>12</v>
      </c>
      <c r="C40" s="15" t="s">
        <v>41</v>
      </c>
      <c r="D40" s="794" t="s">
        <v>146</v>
      </c>
      <c r="E40" s="795"/>
      <c r="F40" s="17">
        <f>1/30</f>
        <v>3.3333333333333333E-2</v>
      </c>
      <c r="G40" s="142">
        <f t="shared" si="67"/>
        <v>0</v>
      </c>
      <c r="H40" s="142">
        <f t="shared" si="67"/>
        <v>0</v>
      </c>
      <c r="I40" s="142">
        <f t="shared" si="67"/>
        <v>0</v>
      </c>
      <c r="J40" s="142">
        <f t="shared" si="67"/>
        <v>0</v>
      </c>
      <c r="K40" s="142">
        <f t="shared" si="67"/>
        <v>0</v>
      </c>
      <c r="L40" s="142">
        <f t="shared" si="67"/>
        <v>0</v>
      </c>
      <c r="M40" s="142">
        <f t="shared" si="67"/>
        <v>0</v>
      </c>
      <c r="N40" s="142">
        <f t="shared" si="67"/>
        <v>0</v>
      </c>
      <c r="O40" s="142">
        <f t="shared" si="68"/>
        <v>0</v>
      </c>
      <c r="P40" s="142">
        <f t="shared" si="68"/>
        <v>0</v>
      </c>
      <c r="Q40" s="142">
        <f t="shared" si="68"/>
        <v>0</v>
      </c>
      <c r="R40" s="142">
        <f t="shared" si="68"/>
        <v>0</v>
      </c>
      <c r="S40" s="142">
        <f t="shared" si="68"/>
        <v>0</v>
      </c>
      <c r="T40" s="142">
        <f t="shared" si="68"/>
        <v>0</v>
      </c>
      <c r="U40" s="142">
        <f t="shared" si="68"/>
        <v>0</v>
      </c>
      <c r="V40" s="142">
        <f t="shared" si="74"/>
        <v>0</v>
      </c>
      <c r="W40" s="142">
        <f t="shared" si="74"/>
        <v>0</v>
      </c>
      <c r="X40" s="142">
        <f t="shared" si="74"/>
        <v>0</v>
      </c>
      <c r="Y40" s="142">
        <f t="shared" si="74"/>
        <v>0</v>
      </c>
      <c r="Z40" s="142">
        <f t="shared" si="74"/>
        <v>0</v>
      </c>
      <c r="AA40" s="142">
        <f t="shared" si="74"/>
        <v>0</v>
      </c>
      <c r="AB40" s="142">
        <f t="shared" si="74"/>
        <v>0</v>
      </c>
      <c r="AC40" s="142">
        <f t="shared" si="74"/>
        <v>0</v>
      </c>
      <c r="AD40" s="142">
        <f t="shared" si="74"/>
        <v>0</v>
      </c>
      <c r="AE40" s="142">
        <f t="shared" si="74"/>
        <v>0</v>
      </c>
      <c r="AF40" s="142">
        <f t="shared" si="74"/>
        <v>0</v>
      </c>
      <c r="AG40" s="142">
        <f t="shared" si="74"/>
        <v>0</v>
      </c>
      <c r="AH40" s="142">
        <f t="shared" si="74"/>
        <v>0</v>
      </c>
      <c r="AI40" s="142">
        <f t="shared" si="74"/>
        <v>0</v>
      </c>
      <c r="AJ40" s="142">
        <f t="shared" si="74"/>
        <v>0</v>
      </c>
      <c r="AK40" s="142">
        <f t="shared" si="74"/>
        <v>0</v>
      </c>
      <c r="AL40" s="142">
        <f t="shared" si="74"/>
        <v>0</v>
      </c>
      <c r="AM40" s="142">
        <f t="shared" si="74"/>
        <v>0</v>
      </c>
      <c r="AN40" s="142">
        <f t="shared" si="74"/>
        <v>0</v>
      </c>
      <c r="AO40" s="142">
        <f t="shared" si="74"/>
        <v>0</v>
      </c>
      <c r="AP40" s="142">
        <f t="shared" si="74"/>
        <v>0</v>
      </c>
      <c r="AQ40" s="142">
        <f t="shared" si="74"/>
        <v>0</v>
      </c>
      <c r="AR40" s="142">
        <f t="shared" si="74"/>
        <v>0</v>
      </c>
      <c r="AS40" s="142">
        <f t="shared" si="74"/>
        <v>0</v>
      </c>
      <c r="AT40" s="142">
        <f t="shared" si="74"/>
        <v>0</v>
      </c>
      <c r="AU40" s="142">
        <f t="shared" si="74"/>
        <v>0</v>
      </c>
      <c r="AV40" s="142">
        <f t="shared" si="74"/>
        <v>0</v>
      </c>
      <c r="AW40" s="142">
        <f t="shared" si="74"/>
        <v>0</v>
      </c>
      <c r="AX40" s="142">
        <f t="shared" si="74"/>
        <v>0</v>
      </c>
      <c r="AY40" s="142">
        <f t="shared" si="74"/>
        <v>0</v>
      </c>
      <c r="AZ40" s="142">
        <f t="shared" si="74"/>
        <v>0</v>
      </c>
      <c r="BA40" s="142">
        <f t="shared" si="73"/>
        <v>0</v>
      </c>
      <c r="BB40" s="142">
        <f t="shared" si="73"/>
        <v>0</v>
      </c>
      <c r="BC40" s="142">
        <f t="shared" si="73"/>
        <v>0</v>
      </c>
      <c r="BD40" s="142">
        <f t="shared" si="73"/>
        <v>0</v>
      </c>
      <c r="BE40" s="142">
        <f t="shared" si="73"/>
        <v>0</v>
      </c>
      <c r="BF40" s="142">
        <f t="shared" si="73"/>
        <v>0</v>
      </c>
      <c r="BG40" s="142">
        <f t="shared" si="75"/>
        <v>0</v>
      </c>
      <c r="BH40" s="142">
        <f t="shared" si="75"/>
        <v>0</v>
      </c>
      <c r="BI40" s="142">
        <f t="shared" si="75"/>
        <v>0</v>
      </c>
      <c r="BJ40" s="142">
        <f t="shared" si="75"/>
        <v>0</v>
      </c>
      <c r="BK40" s="142">
        <f t="shared" si="75"/>
        <v>0</v>
      </c>
      <c r="BL40" s="142">
        <f t="shared" si="75"/>
        <v>0</v>
      </c>
      <c r="BM40" s="142">
        <f t="shared" si="75"/>
        <v>0</v>
      </c>
      <c r="BN40" s="142">
        <f t="shared" si="75"/>
        <v>0</v>
      </c>
      <c r="BO40" s="142">
        <f t="shared" si="75"/>
        <v>0</v>
      </c>
      <c r="BP40" s="142">
        <f t="shared" si="75"/>
        <v>0</v>
      </c>
      <c r="BQ40" s="142">
        <f t="shared" si="75"/>
        <v>0</v>
      </c>
      <c r="BR40" s="142">
        <f t="shared" si="75"/>
        <v>0</v>
      </c>
      <c r="BS40" s="142">
        <f t="shared" si="75"/>
        <v>0</v>
      </c>
      <c r="BT40" s="142">
        <f t="shared" si="73"/>
        <v>0</v>
      </c>
      <c r="BU40" s="142">
        <f t="shared" si="73"/>
        <v>0</v>
      </c>
      <c r="BV40" s="142">
        <f t="shared" si="73"/>
        <v>0</v>
      </c>
      <c r="BW40" s="142">
        <f t="shared" si="73"/>
        <v>0</v>
      </c>
      <c r="BX40" s="142">
        <f t="shared" si="73"/>
        <v>0</v>
      </c>
      <c r="BY40" s="142">
        <f t="shared" si="73"/>
        <v>0</v>
      </c>
      <c r="BZ40" s="142">
        <f t="shared" si="73"/>
        <v>0</v>
      </c>
      <c r="CA40" s="142">
        <f t="shared" si="73"/>
        <v>0</v>
      </c>
      <c r="CB40" s="142">
        <f t="shared" si="73"/>
        <v>0</v>
      </c>
      <c r="CC40" s="142">
        <f t="shared" si="73"/>
        <v>0</v>
      </c>
      <c r="CD40" s="142">
        <f t="shared" si="73"/>
        <v>0</v>
      </c>
      <c r="CE40" s="142">
        <f t="shared" si="73"/>
        <v>0</v>
      </c>
      <c r="CF40" s="142">
        <f t="shared" si="73"/>
        <v>0</v>
      </c>
      <c r="CG40" s="128">
        <f t="shared" si="73"/>
        <v>0</v>
      </c>
      <c r="CH40" s="128">
        <f t="shared" si="73"/>
        <v>0</v>
      </c>
      <c r="CI40" s="128">
        <f t="shared" si="73"/>
        <v>0</v>
      </c>
      <c r="CJ40" s="128">
        <f t="shared" si="73"/>
        <v>0</v>
      </c>
      <c r="CK40" s="128">
        <f t="shared" si="73"/>
        <v>0</v>
      </c>
      <c r="CL40" s="128">
        <f t="shared" si="73"/>
        <v>0</v>
      </c>
      <c r="CM40" s="128">
        <f t="shared" si="73"/>
        <v>0</v>
      </c>
      <c r="CN40" s="128">
        <f t="shared" si="73"/>
        <v>0</v>
      </c>
      <c r="CO40" s="128">
        <f t="shared" si="73"/>
        <v>0</v>
      </c>
      <c r="CP40" s="128">
        <f t="shared" si="73"/>
        <v>0</v>
      </c>
      <c r="CQ40" s="128">
        <f t="shared" si="73"/>
        <v>0</v>
      </c>
      <c r="CR40" s="128">
        <f t="shared" si="73"/>
        <v>0</v>
      </c>
      <c r="CS40" s="128">
        <f t="shared" si="71"/>
        <v>0</v>
      </c>
      <c r="CT40" s="128">
        <f t="shared" si="71"/>
        <v>0</v>
      </c>
      <c r="CU40" s="128">
        <f t="shared" si="71"/>
        <v>0</v>
      </c>
      <c r="CV40" s="128">
        <f t="shared" si="71"/>
        <v>0</v>
      </c>
      <c r="CW40" s="128">
        <f t="shared" si="71"/>
        <v>0</v>
      </c>
      <c r="CX40" s="128">
        <f t="shared" si="71"/>
        <v>0</v>
      </c>
      <c r="CY40" s="128">
        <f t="shared" si="71"/>
        <v>0</v>
      </c>
      <c r="CZ40" s="128">
        <f t="shared" si="71"/>
        <v>0</v>
      </c>
      <c r="DA40" s="128">
        <f t="shared" si="71"/>
        <v>0</v>
      </c>
      <c r="DB40" s="128">
        <f t="shared" si="71"/>
        <v>0</v>
      </c>
      <c r="DC40" s="128">
        <f t="shared" si="71"/>
        <v>0</v>
      </c>
      <c r="DD40" s="128">
        <f t="shared" si="71"/>
        <v>0</v>
      </c>
      <c r="DE40" s="128">
        <f t="shared" si="71"/>
        <v>0</v>
      </c>
      <c r="DF40" s="128">
        <f t="shared" si="71"/>
        <v>0</v>
      </c>
      <c r="DG40" s="128">
        <f t="shared" si="71"/>
        <v>0</v>
      </c>
      <c r="DH40" s="128">
        <f t="shared" si="73"/>
        <v>0</v>
      </c>
      <c r="DI40" s="128">
        <f t="shared" si="73"/>
        <v>0</v>
      </c>
      <c r="DJ40" s="128">
        <f t="shared" si="73"/>
        <v>0</v>
      </c>
      <c r="DK40" s="128">
        <f t="shared" si="73"/>
        <v>0</v>
      </c>
      <c r="DL40" s="128">
        <f t="shared" si="73"/>
        <v>0</v>
      </c>
      <c r="DM40" s="128">
        <f t="shared" si="73"/>
        <v>0</v>
      </c>
      <c r="DN40" s="128">
        <f t="shared" si="73"/>
        <v>0</v>
      </c>
      <c r="DO40" s="128">
        <f t="shared" si="73"/>
        <v>0</v>
      </c>
      <c r="DP40" s="128">
        <f t="shared" si="73"/>
        <v>0</v>
      </c>
      <c r="DQ40" s="128">
        <f t="shared" si="73"/>
        <v>0</v>
      </c>
      <c r="DR40" s="128">
        <f t="shared" si="73"/>
        <v>0</v>
      </c>
      <c r="DS40" s="128">
        <f t="shared" si="73"/>
        <v>0</v>
      </c>
      <c r="DT40" s="128">
        <f t="shared" si="73"/>
        <v>0</v>
      </c>
      <c r="DU40" s="128">
        <f t="shared" si="73"/>
        <v>0</v>
      </c>
      <c r="DV40" s="128">
        <f t="shared" si="73"/>
        <v>0</v>
      </c>
      <c r="DW40" s="128">
        <f t="shared" si="73"/>
        <v>0</v>
      </c>
      <c r="DX40" s="128">
        <f t="shared" si="73"/>
        <v>0</v>
      </c>
      <c r="DY40" s="128">
        <f t="shared" si="73"/>
        <v>0</v>
      </c>
      <c r="DZ40" s="128">
        <f t="shared" si="73"/>
        <v>0</v>
      </c>
      <c r="EA40" s="128">
        <f t="shared" si="73"/>
        <v>0</v>
      </c>
      <c r="EB40" s="128"/>
      <c r="EC40" s="128">
        <f t="shared" si="73"/>
        <v>0</v>
      </c>
      <c r="ED40" s="128">
        <f t="shared" si="73"/>
        <v>0</v>
      </c>
      <c r="EE40" s="128">
        <f t="shared" si="73"/>
        <v>0</v>
      </c>
      <c r="EF40" s="16">
        <f t="shared" si="73"/>
        <v>0</v>
      </c>
      <c r="EG40" s="16">
        <f t="shared" si="73"/>
        <v>0</v>
      </c>
      <c r="EH40" s="16">
        <f t="shared" si="73"/>
        <v>0</v>
      </c>
      <c r="EI40" s="149">
        <f t="shared" si="53"/>
        <v>0</v>
      </c>
      <c r="EJ40" s="132">
        <f t="shared" si="61"/>
        <v>0</v>
      </c>
    </row>
    <row r="41" spans="1:140" ht="15.6">
      <c r="A41" s="15" t="s">
        <v>141</v>
      </c>
      <c r="B41" s="15">
        <v>18</v>
      </c>
      <c r="C41" s="15" t="s">
        <v>441</v>
      </c>
      <c r="D41" s="794" t="s">
        <v>147</v>
      </c>
      <c r="E41" s="795"/>
      <c r="F41" s="17">
        <v>0.33333333333333331</v>
      </c>
      <c r="G41" s="142">
        <f t="shared" si="67"/>
        <v>0</v>
      </c>
      <c r="H41" s="142">
        <f t="shared" si="67"/>
        <v>0</v>
      </c>
      <c r="I41" s="142">
        <f t="shared" si="67"/>
        <v>0</v>
      </c>
      <c r="J41" s="142">
        <f t="shared" si="67"/>
        <v>0</v>
      </c>
      <c r="K41" s="142">
        <f t="shared" si="67"/>
        <v>0</v>
      </c>
      <c r="L41" s="142">
        <f t="shared" si="67"/>
        <v>0</v>
      </c>
      <c r="M41" s="142">
        <f t="shared" si="67"/>
        <v>0</v>
      </c>
      <c r="N41" s="142">
        <f t="shared" si="67"/>
        <v>0</v>
      </c>
      <c r="O41" s="142">
        <f t="shared" si="68"/>
        <v>0</v>
      </c>
      <c r="P41" s="142">
        <f t="shared" si="68"/>
        <v>0</v>
      </c>
      <c r="Q41" s="142">
        <f t="shared" si="68"/>
        <v>0</v>
      </c>
      <c r="R41" s="142">
        <f t="shared" si="68"/>
        <v>0</v>
      </c>
      <c r="S41" s="142">
        <f t="shared" si="68"/>
        <v>0</v>
      </c>
      <c r="T41" s="142">
        <f t="shared" si="68"/>
        <v>0</v>
      </c>
      <c r="U41" s="142">
        <f t="shared" si="68"/>
        <v>0</v>
      </c>
      <c r="V41" s="142">
        <f t="shared" si="74"/>
        <v>0</v>
      </c>
      <c r="W41" s="142">
        <f t="shared" si="74"/>
        <v>0</v>
      </c>
      <c r="X41" s="142">
        <f t="shared" si="74"/>
        <v>0</v>
      </c>
      <c r="Y41" s="142">
        <f t="shared" si="74"/>
        <v>0</v>
      </c>
      <c r="Z41" s="142">
        <f t="shared" si="74"/>
        <v>0</v>
      </c>
      <c r="AA41" s="142">
        <f t="shared" si="74"/>
        <v>0</v>
      </c>
      <c r="AB41" s="142">
        <f t="shared" si="74"/>
        <v>0</v>
      </c>
      <c r="AC41" s="142">
        <f t="shared" si="74"/>
        <v>0</v>
      </c>
      <c r="AD41" s="142">
        <f t="shared" si="74"/>
        <v>0</v>
      </c>
      <c r="AE41" s="142">
        <f t="shared" si="74"/>
        <v>0</v>
      </c>
      <c r="AF41" s="142">
        <f t="shared" si="74"/>
        <v>0</v>
      </c>
      <c r="AG41" s="142">
        <f t="shared" si="74"/>
        <v>0</v>
      </c>
      <c r="AH41" s="142">
        <f t="shared" si="74"/>
        <v>0</v>
      </c>
      <c r="AI41" s="142">
        <f t="shared" si="74"/>
        <v>0</v>
      </c>
      <c r="AJ41" s="142">
        <f t="shared" si="74"/>
        <v>0</v>
      </c>
      <c r="AK41" s="142">
        <f t="shared" si="74"/>
        <v>0</v>
      </c>
      <c r="AL41" s="142">
        <f t="shared" si="74"/>
        <v>0</v>
      </c>
      <c r="AM41" s="142">
        <f t="shared" si="74"/>
        <v>0</v>
      </c>
      <c r="AN41" s="142">
        <f t="shared" si="74"/>
        <v>0</v>
      </c>
      <c r="AO41" s="142">
        <f t="shared" si="74"/>
        <v>0</v>
      </c>
      <c r="AP41" s="142">
        <f t="shared" si="74"/>
        <v>0</v>
      </c>
      <c r="AQ41" s="142">
        <f t="shared" si="74"/>
        <v>0</v>
      </c>
      <c r="AR41" s="142">
        <f t="shared" si="74"/>
        <v>0</v>
      </c>
      <c r="AS41" s="142">
        <f t="shared" si="74"/>
        <v>0</v>
      </c>
      <c r="AT41" s="142">
        <f t="shared" si="74"/>
        <v>0</v>
      </c>
      <c r="AU41" s="142">
        <f t="shared" si="74"/>
        <v>0</v>
      </c>
      <c r="AV41" s="142">
        <f t="shared" si="74"/>
        <v>0</v>
      </c>
      <c r="AW41" s="142">
        <f t="shared" si="74"/>
        <v>0</v>
      </c>
      <c r="AX41" s="142">
        <f t="shared" si="74"/>
        <v>0</v>
      </c>
      <c r="AY41" s="142">
        <f t="shared" si="74"/>
        <v>0</v>
      </c>
      <c r="AZ41" s="142">
        <f t="shared" si="74"/>
        <v>0</v>
      </c>
      <c r="BA41" s="142">
        <f t="shared" si="73"/>
        <v>0</v>
      </c>
      <c r="BB41" s="142">
        <f t="shared" si="73"/>
        <v>0</v>
      </c>
      <c r="BC41" s="142">
        <f t="shared" si="73"/>
        <v>0</v>
      </c>
      <c r="BD41" s="142">
        <f t="shared" si="73"/>
        <v>0</v>
      </c>
      <c r="BE41" s="142">
        <f t="shared" si="73"/>
        <v>0</v>
      </c>
      <c r="BF41" s="142">
        <f t="shared" si="73"/>
        <v>0</v>
      </c>
      <c r="BG41" s="142">
        <f t="shared" si="75"/>
        <v>0</v>
      </c>
      <c r="BH41" s="142">
        <f t="shared" si="75"/>
        <v>0</v>
      </c>
      <c r="BI41" s="142">
        <f t="shared" si="75"/>
        <v>0</v>
      </c>
      <c r="BJ41" s="142">
        <f t="shared" si="75"/>
        <v>0</v>
      </c>
      <c r="BK41" s="142">
        <f t="shared" si="75"/>
        <v>0</v>
      </c>
      <c r="BL41" s="142">
        <f t="shared" si="75"/>
        <v>0</v>
      </c>
      <c r="BM41" s="142">
        <f t="shared" si="75"/>
        <v>0</v>
      </c>
      <c r="BN41" s="142">
        <f t="shared" si="75"/>
        <v>0</v>
      </c>
      <c r="BO41" s="142">
        <f t="shared" si="75"/>
        <v>0</v>
      </c>
      <c r="BP41" s="142">
        <f t="shared" si="75"/>
        <v>0</v>
      </c>
      <c r="BQ41" s="142">
        <f t="shared" si="75"/>
        <v>0</v>
      </c>
      <c r="BR41" s="142">
        <f t="shared" si="75"/>
        <v>0</v>
      </c>
      <c r="BS41" s="142">
        <f t="shared" si="75"/>
        <v>0</v>
      </c>
      <c r="BT41" s="142">
        <f t="shared" si="73"/>
        <v>0</v>
      </c>
      <c r="BU41" s="142">
        <f t="shared" si="73"/>
        <v>0</v>
      </c>
      <c r="BV41" s="142">
        <f t="shared" si="73"/>
        <v>0</v>
      </c>
      <c r="BW41" s="142">
        <f t="shared" si="73"/>
        <v>0</v>
      </c>
      <c r="BX41" s="142">
        <f t="shared" si="73"/>
        <v>0</v>
      </c>
      <c r="BY41" s="142">
        <f t="shared" si="73"/>
        <v>0</v>
      </c>
      <c r="BZ41" s="142">
        <f t="shared" si="73"/>
        <v>0</v>
      </c>
      <c r="CA41" s="142">
        <f t="shared" si="73"/>
        <v>0</v>
      </c>
      <c r="CB41" s="142">
        <f t="shared" si="73"/>
        <v>0</v>
      </c>
      <c r="CC41" s="142">
        <f t="shared" si="73"/>
        <v>0</v>
      </c>
      <c r="CD41" s="142">
        <f t="shared" si="73"/>
        <v>0</v>
      </c>
      <c r="CE41" s="142">
        <f t="shared" si="73"/>
        <v>0</v>
      </c>
      <c r="CF41" s="142">
        <f t="shared" si="73"/>
        <v>0</v>
      </c>
      <c r="CG41" s="128">
        <f t="shared" si="73"/>
        <v>0</v>
      </c>
      <c r="CH41" s="128">
        <f t="shared" si="73"/>
        <v>0</v>
      </c>
      <c r="CI41" s="128">
        <f t="shared" si="73"/>
        <v>0</v>
      </c>
      <c r="CJ41" s="128">
        <f t="shared" si="73"/>
        <v>0</v>
      </c>
      <c r="CK41" s="128">
        <f t="shared" si="73"/>
        <v>0</v>
      </c>
      <c r="CL41" s="128">
        <f t="shared" si="73"/>
        <v>0</v>
      </c>
      <c r="CM41" s="128">
        <f t="shared" si="73"/>
        <v>0</v>
      </c>
      <c r="CN41" s="128">
        <f t="shared" si="73"/>
        <v>0</v>
      </c>
      <c r="CO41" s="128">
        <f t="shared" si="73"/>
        <v>0</v>
      </c>
      <c r="CP41" s="128">
        <f t="shared" si="73"/>
        <v>0</v>
      </c>
      <c r="CQ41" s="128">
        <f t="shared" si="73"/>
        <v>0</v>
      </c>
      <c r="CR41" s="128">
        <f t="shared" si="73"/>
        <v>0</v>
      </c>
      <c r="CS41" s="128">
        <f t="shared" si="71"/>
        <v>0</v>
      </c>
      <c r="CT41" s="128">
        <f t="shared" si="71"/>
        <v>0</v>
      </c>
      <c r="CU41" s="128">
        <f t="shared" si="71"/>
        <v>0</v>
      </c>
      <c r="CV41" s="128">
        <f t="shared" si="71"/>
        <v>0</v>
      </c>
      <c r="CW41" s="128">
        <f t="shared" si="71"/>
        <v>0</v>
      </c>
      <c r="CX41" s="128">
        <f t="shared" si="71"/>
        <v>0</v>
      </c>
      <c r="CY41" s="128">
        <f t="shared" si="71"/>
        <v>0</v>
      </c>
      <c r="CZ41" s="128">
        <f t="shared" si="71"/>
        <v>0</v>
      </c>
      <c r="DA41" s="128">
        <f t="shared" si="71"/>
        <v>0</v>
      </c>
      <c r="DB41" s="128">
        <f t="shared" si="71"/>
        <v>0</v>
      </c>
      <c r="DC41" s="128">
        <f t="shared" si="71"/>
        <v>0</v>
      </c>
      <c r="DD41" s="128">
        <f t="shared" si="71"/>
        <v>0</v>
      </c>
      <c r="DE41" s="128">
        <f t="shared" si="71"/>
        <v>0</v>
      </c>
      <c r="DF41" s="128">
        <f t="shared" si="71"/>
        <v>0</v>
      </c>
      <c r="DG41" s="128">
        <f t="shared" si="71"/>
        <v>0</v>
      </c>
      <c r="DH41" s="128">
        <f t="shared" si="73"/>
        <v>0</v>
      </c>
      <c r="DI41" s="128">
        <f t="shared" si="73"/>
        <v>0</v>
      </c>
      <c r="DJ41" s="128">
        <f t="shared" ref="BA41:EH45" si="76">ROUNDUP($F41*DJ$4,0)</f>
        <v>0</v>
      </c>
      <c r="DK41" s="128">
        <f t="shared" si="76"/>
        <v>0</v>
      </c>
      <c r="DL41" s="128">
        <f t="shared" si="76"/>
        <v>0</v>
      </c>
      <c r="DM41" s="128">
        <f t="shared" si="76"/>
        <v>0</v>
      </c>
      <c r="DN41" s="128">
        <f t="shared" si="76"/>
        <v>0</v>
      </c>
      <c r="DO41" s="128">
        <f t="shared" si="76"/>
        <v>0</v>
      </c>
      <c r="DP41" s="128">
        <f t="shared" si="76"/>
        <v>0</v>
      </c>
      <c r="DQ41" s="128">
        <f t="shared" si="76"/>
        <v>0</v>
      </c>
      <c r="DR41" s="128">
        <f t="shared" si="76"/>
        <v>0</v>
      </c>
      <c r="DS41" s="128">
        <f t="shared" si="76"/>
        <v>0</v>
      </c>
      <c r="DT41" s="128">
        <f t="shared" si="76"/>
        <v>0</v>
      </c>
      <c r="DU41" s="128">
        <f t="shared" si="76"/>
        <v>0</v>
      </c>
      <c r="DV41" s="128">
        <f t="shared" si="76"/>
        <v>0</v>
      </c>
      <c r="DW41" s="128">
        <f t="shared" si="76"/>
        <v>0</v>
      </c>
      <c r="DX41" s="128">
        <f t="shared" si="76"/>
        <v>0</v>
      </c>
      <c r="DY41" s="128">
        <f t="shared" si="76"/>
        <v>0</v>
      </c>
      <c r="DZ41" s="128">
        <f t="shared" si="76"/>
        <v>0</v>
      </c>
      <c r="EA41" s="128">
        <f t="shared" si="76"/>
        <v>0</v>
      </c>
      <c r="EB41" s="128"/>
      <c r="EC41" s="128">
        <f t="shared" si="76"/>
        <v>0</v>
      </c>
      <c r="ED41" s="128">
        <f t="shared" si="76"/>
        <v>0</v>
      </c>
      <c r="EE41" s="128">
        <f t="shared" si="76"/>
        <v>0</v>
      </c>
      <c r="EF41" s="16">
        <f t="shared" si="76"/>
        <v>0</v>
      </c>
      <c r="EG41" s="16">
        <f t="shared" si="76"/>
        <v>0</v>
      </c>
      <c r="EH41" s="16">
        <f t="shared" si="76"/>
        <v>0</v>
      </c>
      <c r="EI41" s="149">
        <f t="shared" si="53"/>
        <v>0</v>
      </c>
      <c r="EJ41" s="132">
        <f t="shared" si="61"/>
        <v>0</v>
      </c>
    </row>
    <row r="42" spans="1:140" ht="15.6">
      <c r="A42" s="15" t="s">
        <v>141</v>
      </c>
      <c r="B42" s="15">
        <v>19</v>
      </c>
      <c r="C42" s="15" t="s">
        <v>438</v>
      </c>
      <c r="D42" s="794" t="s">
        <v>439</v>
      </c>
      <c r="E42" s="795"/>
      <c r="F42" s="17">
        <v>2</v>
      </c>
      <c r="G42" s="142">
        <f t="shared" si="67"/>
        <v>0</v>
      </c>
      <c r="H42" s="142">
        <f t="shared" si="67"/>
        <v>0</v>
      </c>
      <c r="I42" s="142">
        <f t="shared" si="67"/>
        <v>0</v>
      </c>
      <c r="J42" s="142">
        <f t="shared" si="67"/>
        <v>0</v>
      </c>
      <c r="K42" s="142">
        <f t="shared" si="67"/>
        <v>0</v>
      </c>
      <c r="L42" s="142">
        <f t="shared" si="67"/>
        <v>0</v>
      </c>
      <c r="M42" s="142">
        <f t="shared" si="67"/>
        <v>0</v>
      </c>
      <c r="N42" s="142">
        <f t="shared" si="67"/>
        <v>0</v>
      </c>
      <c r="O42" s="142">
        <f t="shared" si="68"/>
        <v>0</v>
      </c>
      <c r="P42" s="142">
        <f t="shared" si="68"/>
        <v>0</v>
      </c>
      <c r="Q42" s="142">
        <f t="shared" si="68"/>
        <v>0</v>
      </c>
      <c r="R42" s="142">
        <f t="shared" si="68"/>
        <v>0</v>
      </c>
      <c r="S42" s="142">
        <f t="shared" si="68"/>
        <v>0</v>
      </c>
      <c r="T42" s="142">
        <f t="shared" si="68"/>
        <v>0</v>
      </c>
      <c r="U42" s="142">
        <f t="shared" si="68"/>
        <v>0</v>
      </c>
      <c r="V42" s="142">
        <f t="shared" si="74"/>
        <v>0</v>
      </c>
      <c r="W42" s="142">
        <f t="shared" si="74"/>
        <v>0</v>
      </c>
      <c r="X42" s="142">
        <f t="shared" si="74"/>
        <v>0</v>
      </c>
      <c r="Y42" s="142">
        <f t="shared" si="74"/>
        <v>0</v>
      </c>
      <c r="Z42" s="142">
        <f t="shared" si="74"/>
        <v>0</v>
      </c>
      <c r="AA42" s="142">
        <f t="shared" si="74"/>
        <v>0</v>
      </c>
      <c r="AB42" s="142">
        <f t="shared" si="74"/>
        <v>0</v>
      </c>
      <c r="AC42" s="142">
        <f t="shared" si="74"/>
        <v>0</v>
      </c>
      <c r="AD42" s="142">
        <f t="shared" si="74"/>
        <v>0</v>
      </c>
      <c r="AE42" s="142">
        <f t="shared" si="74"/>
        <v>0</v>
      </c>
      <c r="AF42" s="142">
        <f t="shared" si="74"/>
        <v>0</v>
      </c>
      <c r="AG42" s="142">
        <f t="shared" si="74"/>
        <v>0</v>
      </c>
      <c r="AH42" s="142">
        <f t="shared" si="74"/>
        <v>0</v>
      </c>
      <c r="AI42" s="142">
        <f t="shared" si="74"/>
        <v>0</v>
      </c>
      <c r="AJ42" s="142">
        <f t="shared" si="74"/>
        <v>0</v>
      </c>
      <c r="AK42" s="142">
        <f t="shared" si="74"/>
        <v>0</v>
      </c>
      <c r="AL42" s="142">
        <f t="shared" si="74"/>
        <v>0</v>
      </c>
      <c r="AM42" s="142">
        <f t="shared" si="74"/>
        <v>0</v>
      </c>
      <c r="AN42" s="142">
        <f t="shared" si="74"/>
        <v>0</v>
      </c>
      <c r="AO42" s="142">
        <f t="shared" si="74"/>
        <v>0</v>
      </c>
      <c r="AP42" s="142">
        <f t="shared" si="74"/>
        <v>0</v>
      </c>
      <c r="AQ42" s="142">
        <f t="shared" si="74"/>
        <v>0</v>
      </c>
      <c r="AR42" s="142">
        <f t="shared" si="74"/>
        <v>0</v>
      </c>
      <c r="AS42" s="142">
        <f t="shared" si="74"/>
        <v>0</v>
      </c>
      <c r="AT42" s="142">
        <f t="shared" si="74"/>
        <v>0</v>
      </c>
      <c r="AU42" s="142">
        <f t="shared" si="74"/>
        <v>0</v>
      </c>
      <c r="AV42" s="142">
        <f t="shared" si="74"/>
        <v>0</v>
      </c>
      <c r="AW42" s="142">
        <f t="shared" si="74"/>
        <v>0</v>
      </c>
      <c r="AX42" s="142">
        <f t="shared" si="74"/>
        <v>0</v>
      </c>
      <c r="AY42" s="142">
        <f t="shared" si="74"/>
        <v>0</v>
      </c>
      <c r="AZ42" s="142">
        <f t="shared" si="74"/>
        <v>0</v>
      </c>
      <c r="BA42" s="142">
        <f t="shared" si="76"/>
        <v>0</v>
      </c>
      <c r="BB42" s="142">
        <f t="shared" si="76"/>
        <v>0</v>
      </c>
      <c r="BC42" s="142">
        <f t="shared" si="76"/>
        <v>0</v>
      </c>
      <c r="BD42" s="142">
        <f t="shared" si="76"/>
        <v>0</v>
      </c>
      <c r="BE42" s="142">
        <f t="shared" si="76"/>
        <v>0</v>
      </c>
      <c r="BF42" s="142">
        <f t="shared" si="76"/>
        <v>0</v>
      </c>
      <c r="BG42" s="142">
        <f t="shared" si="76"/>
        <v>0</v>
      </c>
      <c r="BH42" s="142">
        <f t="shared" si="76"/>
        <v>0</v>
      </c>
      <c r="BI42" s="142">
        <f t="shared" si="76"/>
        <v>0</v>
      </c>
      <c r="BJ42" s="142">
        <f t="shared" si="76"/>
        <v>0</v>
      </c>
      <c r="BK42" s="142">
        <f t="shared" si="76"/>
        <v>0</v>
      </c>
      <c r="BL42" s="142">
        <f t="shared" si="76"/>
        <v>0</v>
      </c>
      <c r="BM42" s="142">
        <f t="shared" si="76"/>
        <v>0</v>
      </c>
      <c r="BN42" s="142">
        <f t="shared" si="76"/>
        <v>0</v>
      </c>
      <c r="BO42" s="142">
        <f t="shared" si="76"/>
        <v>0</v>
      </c>
      <c r="BP42" s="142">
        <f t="shared" si="76"/>
        <v>0</v>
      </c>
      <c r="BQ42" s="142">
        <f t="shared" si="76"/>
        <v>0</v>
      </c>
      <c r="BR42" s="142">
        <f t="shared" si="76"/>
        <v>0</v>
      </c>
      <c r="BS42" s="142">
        <f t="shared" si="76"/>
        <v>0</v>
      </c>
      <c r="BT42" s="142">
        <f t="shared" si="76"/>
        <v>0</v>
      </c>
      <c r="BU42" s="142">
        <f t="shared" si="76"/>
        <v>0</v>
      </c>
      <c r="BV42" s="142">
        <f t="shared" si="76"/>
        <v>0</v>
      </c>
      <c r="BW42" s="142">
        <f t="shared" si="76"/>
        <v>0</v>
      </c>
      <c r="BX42" s="142">
        <f t="shared" si="76"/>
        <v>0</v>
      </c>
      <c r="BY42" s="142">
        <f t="shared" si="76"/>
        <v>0</v>
      </c>
      <c r="BZ42" s="142">
        <f t="shared" si="76"/>
        <v>0</v>
      </c>
      <c r="CA42" s="142">
        <f t="shared" si="76"/>
        <v>0</v>
      </c>
      <c r="CB42" s="142">
        <f t="shared" si="76"/>
        <v>0</v>
      </c>
      <c r="CC42" s="142">
        <f t="shared" si="76"/>
        <v>0</v>
      </c>
      <c r="CD42" s="142">
        <f t="shared" si="76"/>
        <v>0</v>
      </c>
      <c r="CE42" s="142">
        <f t="shared" si="76"/>
        <v>0</v>
      </c>
      <c r="CF42" s="142">
        <f t="shared" si="76"/>
        <v>0</v>
      </c>
      <c r="CG42" s="128">
        <f t="shared" si="76"/>
        <v>0</v>
      </c>
      <c r="CH42" s="128">
        <f t="shared" si="76"/>
        <v>0</v>
      </c>
      <c r="CI42" s="128">
        <f t="shared" si="76"/>
        <v>0</v>
      </c>
      <c r="CJ42" s="128">
        <f t="shared" si="76"/>
        <v>0</v>
      </c>
      <c r="CK42" s="128">
        <f t="shared" si="76"/>
        <v>0</v>
      </c>
      <c r="CL42" s="128">
        <f t="shared" si="76"/>
        <v>0</v>
      </c>
      <c r="CM42" s="128">
        <f t="shared" si="76"/>
        <v>0</v>
      </c>
      <c r="CN42" s="128">
        <f t="shared" si="76"/>
        <v>0</v>
      </c>
      <c r="CO42" s="128">
        <f t="shared" si="76"/>
        <v>0</v>
      </c>
      <c r="CP42" s="128">
        <f t="shared" si="76"/>
        <v>0</v>
      </c>
      <c r="CQ42" s="128">
        <f t="shared" si="76"/>
        <v>0</v>
      </c>
      <c r="CR42" s="128">
        <f t="shared" si="76"/>
        <v>0</v>
      </c>
      <c r="CS42" s="128">
        <f t="shared" si="71"/>
        <v>0</v>
      </c>
      <c r="CT42" s="128">
        <f t="shared" si="71"/>
        <v>0</v>
      </c>
      <c r="CU42" s="128">
        <f t="shared" si="71"/>
        <v>0</v>
      </c>
      <c r="CV42" s="128">
        <f t="shared" si="71"/>
        <v>0</v>
      </c>
      <c r="CW42" s="128">
        <f t="shared" si="71"/>
        <v>0</v>
      </c>
      <c r="CX42" s="128">
        <f t="shared" si="71"/>
        <v>0</v>
      </c>
      <c r="CY42" s="128">
        <f t="shared" si="71"/>
        <v>0</v>
      </c>
      <c r="CZ42" s="128">
        <f t="shared" si="71"/>
        <v>0</v>
      </c>
      <c r="DA42" s="128">
        <f t="shared" si="71"/>
        <v>0</v>
      </c>
      <c r="DB42" s="128">
        <f t="shared" si="71"/>
        <v>0</v>
      </c>
      <c r="DC42" s="128">
        <f t="shared" si="71"/>
        <v>0</v>
      </c>
      <c r="DD42" s="128">
        <f t="shared" si="71"/>
        <v>0</v>
      </c>
      <c r="DE42" s="128">
        <f t="shared" si="71"/>
        <v>0</v>
      </c>
      <c r="DF42" s="128">
        <f t="shared" si="71"/>
        <v>0</v>
      </c>
      <c r="DG42" s="128">
        <f t="shared" si="71"/>
        <v>0</v>
      </c>
      <c r="DH42" s="128">
        <f t="shared" si="76"/>
        <v>0</v>
      </c>
      <c r="DI42" s="128">
        <f t="shared" si="76"/>
        <v>0</v>
      </c>
      <c r="DJ42" s="128">
        <f t="shared" si="76"/>
        <v>0</v>
      </c>
      <c r="DK42" s="128">
        <f t="shared" si="76"/>
        <v>0</v>
      </c>
      <c r="DL42" s="128">
        <f t="shared" si="76"/>
        <v>0</v>
      </c>
      <c r="DM42" s="128">
        <f t="shared" si="76"/>
        <v>0</v>
      </c>
      <c r="DN42" s="128">
        <f t="shared" si="76"/>
        <v>0</v>
      </c>
      <c r="DO42" s="128">
        <f t="shared" si="76"/>
        <v>0</v>
      </c>
      <c r="DP42" s="128">
        <f t="shared" si="76"/>
        <v>0</v>
      </c>
      <c r="DQ42" s="128">
        <f t="shared" si="76"/>
        <v>0</v>
      </c>
      <c r="DR42" s="128">
        <f t="shared" si="76"/>
        <v>0</v>
      </c>
      <c r="DS42" s="128">
        <f t="shared" si="76"/>
        <v>0</v>
      </c>
      <c r="DT42" s="128">
        <f t="shared" si="76"/>
        <v>0</v>
      </c>
      <c r="DU42" s="128">
        <f t="shared" si="76"/>
        <v>0</v>
      </c>
      <c r="DV42" s="128">
        <f t="shared" si="76"/>
        <v>0</v>
      </c>
      <c r="DW42" s="128">
        <f t="shared" si="76"/>
        <v>0</v>
      </c>
      <c r="DX42" s="128">
        <f t="shared" si="76"/>
        <v>0</v>
      </c>
      <c r="DY42" s="128">
        <f t="shared" si="76"/>
        <v>0</v>
      </c>
      <c r="DZ42" s="128">
        <f t="shared" si="76"/>
        <v>0</v>
      </c>
      <c r="EA42" s="128">
        <f t="shared" si="76"/>
        <v>0</v>
      </c>
      <c r="EB42" s="128"/>
      <c r="EC42" s="128">
        <f t="shared" si="76"/>
        <v>0</v>
      </c>
      <c r="ED42" s="128">
        <f t="shared" si="76"/>
        <v>0</v>
      </c>
      <c r="EE42" s="128">
        <f t="shared" si="76"/>
        <v>0</v>
      </c>
      <c r="EF42" s="16">
        <f t="shared" si="76"/>
        <v>0</v>
      </c>
      <c r="EG42" s="16">
        <f t="shared" si="76"/>
        <v>0</v>
      </c>
      <c r="EH42" s="16">
        <f t="shared" si="76"/>
        <v>0</v>
      </c>
      <c r="EI42" s="149">
        <f t="shared" si="53"/>
        <v>0</v>
      </c>
      <c r="EJ42" s="132">
        <f>EI42*$B$5</f>
        <v>0</v>
      </c>
    </row>
    <row r="43" spans="1:140" ht="15.6">
      <c r="A43" s="15" t="s">
        <v>141</v>
      </c>
      <c r="B43" s="15">
        <v>13</v>
      </c>
      <c r="C43" s="15" t="s">
        <v>145</v>
      </c>
      <c r="D43" s="794" t="s">
        <v>167</v>
      </c>
      <c r="E43" s="795"/>
      <c r="F43" s="17">
        <v>0.2</v>
      </c>
      <c r="G43" s="142">
        <f t="shared" si="67"/>
        <v>0</v>
      </c>
      <c r="H43" s="142">
        <f t="shared" si="67"/>
        <v>0</v>
      </c>
      <c r="I43" s="142">
        <f t="shared" si="67"/>
        <v>0</v>
      </c>
      <c r="J43" s="142">
        <f t="shared" si="67"/>
        <v>0</v>
      </c>
      <c r="K43" s="142">
        <f t="shared" si="67"/>
        <v>0</v>
      </c>
      <c r="L43" s="142">
        <f t="shared" si="67"/>
        <v>0</v>
      </c>
      <c r="M43" s="142">
        <f t="shared" si="67"/>
        <v>0</v>
      </c>
      <c r="N43" s="142">
        <f t="shared" si="67"/>
        <v>0</v>
      </c>
      <c r="O43" s="142">
        <f t="shared" si="68"/>
        <v>0</v>
      </c>
      <c r="P43" s="142">
        <f t="shared" si="68"/>
        <v>0</v>
      </c>
      <c r="Q43" s="142">
        <f t="shared" si="68"/>
        <v>0</v>
      </c>
      <c r="R43" s="142">
        <f t="shared" si="68"/>
        <v>0</v>
      </c>
      <c r="S43" s="142">
        <f t="shared" si="68"/>
        <v>0</v>
      </c>
      <c r="T43" s="142">
        <f t="shared" si="68"/>
        <v>0</v>
      </c>
      <c r="U43" s="142">
        <f t="shared" si="68"/>
        <v>0</v>
      </c>
      <c r="V43" s="142">
        <f t="shared" si="74"/>
        <v>0</v>
      </c>
      <c r="W43" s="142">
        <f t="shared" si="74"/>
        <v>0</v>
      </c>
      <c r="X43" s="142">
        <f t="shared" si="74"/>
        <v>0</v>
      </c>
      <c r="Y43" s="142">
        <f t="shared" si="74"/>
        <v>0</v>
      </c>
      <c r="Z43" s="142">
        <f t="shared" si="74"/>
        <v>0</v>
      </c>
      <c r="AA43" s="142">
        <f t="shared" si="74"/>
        <v>0</v>
      </c>
      <c r="AB43" s="142">
        <f t="shared" si="74"/>
        <v>0</v>
      </c>
      <c r="AC43" s="142">
        <f t="shared" si="74"/>
        <v>0</v>
      </c>
      <c r="AD43" s="142">
        <f t="shared" si="74"/>
        <v>0</v>
      </c>
      <c r="AE43" s="142">
        <f t="shared" si="74"/>
        <v>0</v>
      </c>
      <c r="AF43" s="142">
        <f t="shared" si="74"/>
        <v>0</v>
      </c>
      <c r="AG43" s="142">
        <f t="shared" si="74"/>
        <v>0</v>
      </c>
      <c r="AH43" s="142">
        <f t="shared" si="74"/>
        <v>0</v>
      </c>
      <c r="AI43" s="142">
        <f t="shared" si="74"/>
        <v>0</v>
      </c>
      <c r="AJ43" s="142">
        <f t="shared" si="74"/>
        <v>0</v>
      </c>
      <c r="AK43" s="142">
        <f t="shared" si="74"/>
        <v>0</v>
      </c>
      <c r="AL43" s="142">
        <f t="shared" si="74"/>
        <v>0</v>
      </c>
      <c r="AM43" s="142">
        <f t="shared" si="74"/>
        <v>0</v>
      </c>
      <c r="AN43" s="142">
        <f t="shared" si="74"/>
        <v>0</v>
      </c>
      <c r="AO43" s="142">
        <f t="shared" si="74"/>
        <v>0</v>
      </c>
      <c r="AP43" s="142">
        <f t="shared" si="74"/>
        <v>0</v>
      </c>
      <c r="AQ43" s="142">
        <f t="shared" si="74"/>
        <v>0</v>
      </c>
      <c r="AR43" s="142">
        <f t="shared" si="74"/>
        <v>0</v>
      </c>
      <c r="AS43" s="142">
        <f t="shared" si="74"/>
        <v>0</v>
      </c>
      <c r="AT43" s="142">
        <f t="shared" si="74"/>
        <v>0</v>
      </c>
      <c r="AU43" s="142">
        <f t="shared" si="74"/>
        <v>0</v>
      </c>
      <c r="AV43" s="142">
        <f t="shared" si="74"/>
        <v>0</v>
      </c>
      <c r="AW43" s="142">
        <f t="shared" si="74"/>
        <v>0</v>
      </c>
      <c r="AX43" s="142">
        <f t="shared" si="74"/>
        <v>0</v>
      </c>
      <c r="AY43" s="142">
        <f t="shared" si="74"/>
        <v>0</v>
      </c>
      <c r="AZ43" s="142">
        <f t="shared" si="74"/>
        <v>0</v>
      </c>
      <c r="BA43" s="142">
        <f t="shared" si="76"/>
        <v>0</v>
      </c>
      <c r="BB43" s="142">
        <f t="shared" si="76"/>
        <v>0</v>
      </c>
      <c r="BC43" s="142">
        <f t="shared" si="76"/>
        <v>0</v>
      </c>
      <c r="BD43" s="142">
        <f t="shared" si="76"/>
        <v>0</v>
      </c>
      <c r="BE43" s="142">
        <f t="shared" si="76"/>
        <v>0</v>
      </c>
      <c r="BF43" s="142">
        <f t="shared" si="76"/>
        <v>0</v>
      </c>
      <c r="BG43" s="142">
        <f t="shared" si="76"/>
        <v>0</v>
      </c>
      <c r="BH43" s="142">
        <f t="shared" si="76"/>
        <v>0</v>
      </c>
      <c r="BI43" s="142">
        <f t="shared" si="76"/>
        <v>0</v>
      </c>
      <c r="BJ43" s="142">
        <f t="shared" ref="BG43:BS45" si="77">ROUNDUP($F43*BJ$4,0)</f>
        <v>0</v>
      </c>
      <c r="BK43" s="142">
        <f t="shared" si="77"/>
        <v>0</v>
      </c>
      <c r="BL43" s="142">
        <f t="shared" si="77"/>
        <v>0</v>
      </c>
      <c r="BM43" s="142">
        <f t="shared" si="77"/>
        <v>0</v>
      </c>
      <c r="BN43" s="142">
        <f t="shared" si="77"/>
        <v>0</v>
      </c>
      <c r="BO43" s="142">
        <f t="shared" si="77"/>
        <v>0</v>
      </c>
      <c r="BP43" s="142">
        <f t="shared" si="77"/>
        <v>0</v>
      </c>
      <c r="BQ43" s="142">
        <f t="shared" si="77"/>
        <v>0</v>
      </c>
      <c r="BR43" s="142">
        <f t="shared" si="77"/>
        <v>0</v>
      </c>
      <c r="BS43" s="142">
        <f t="shared" si="77"/>
        <v>0</v>
      </c>
      <c r="BT43" s="142">
        <f t="shared" si="76"/>
        <v>0</v>
      </c>
      <c r="BU43" s="142">
        <f t="shared" si="76"/>
        <v>0</v>
      </c>
      <c r="BV43" s="142">
        <f t="shared" si="76"/>
        <v>0</v>
      </c>
      <c r="BW43" s="142">
        <f t="shared" si="76"/>
        <v>0</v>
      </c>
      <c r="BX43" s="142">
        <f t="shared" si="76"/>
        <v>0</v>
      </c>
      <c r="BY43" s="142">
        <f t="shared" si="76"/>
        <v>0</v>
      </c>
      <c r="BZ43" s="142">
        <f t="shared" si="76"/>
        <v>0</v>
      </c>
      <c r="CA43" s="142">
        <f t="shared" si="76"/>
        <v>0</v>
      </c>
      <c r="CB43" s="142">
        <f t="shared" si="76"/>
        <v>0</v>
      </c>
      <c r="CC43" s="142">
        <f t="shared" si="76"/>
        <v>0</v>
      </c>
      <c r="CD43" s="142">
        <f t="shared" si="76"/>
        <v>0</v>
      </c>
      <c r="CE43" s="142">
        <f t="shared" si="76"/>
        <v>0</v>
      </c>
      <c r="CF43" s="142">
        <f t="shared" si="76"/>
        <v>0</v>
      </c>
      <c r="CG43" s="128">
        <f t="shared" si="76"/>
        <v>0</v>
      </c>
      <c r="CH43" s="128">
        <f t="shared" si="76"/>
        <v>0</v>
      </c>
      <c r="CI43" s="128">
        <f t="shared" si="76"/>
        <v>0</v>
      </c>
      <c r="CJ43" s="128">
        <f t="shared" si="76"/>
        <v>0</v>
      </c>
      <c r="CK43" s="128">
        <f t="shared" si="76"/>
        <v>0</v>
      </c>
      <c r="CL43" s="128">
        <f t="shared" si="76"/>
        <v>0</v>
      </c>
      <c r="CM43" s="128">
        <f t="shared" si="76"/>
        <v>0</v>
      </c>
      <c r="CN43" s="128">
        <f t="shared" si="76"/>
        <v>0</v>
      </c>
      <c r="CO43" s="128">
        <f t="shared" si="76"/>
        <v>0</v>
      </c>
      <c r="CP43" s="128">
        <f t="shared" si="76"/>
        <v>0</v>
      </c>
      <c r="CQ43" s="128">
        <f t="shared" si="76"/>
        <v>0</v>
      </c>
      <c r="CR43" s="128">
        <f t="shared" si="76"/>
        <v>0</v>
      </c>
      <c r="CS43" s="128">
        <f t="shared" si="71"/>
        <v>0</v>
      </c>
      <c r="CT43" s="128">
        <f t="shared" si="71"/>
        <v>0</v>
      </c>
      <c r="CU43" s="128">
        <f t="shared" si="71"/>
        <v>0</v>
      </c>
      <c r="CV43" s="128">
        <f t="shared" si="71"/>
        <v>0</v>
      </c>
      <c r="CW43" s="128">
        <f t="shared" si="71"/>
        <v>0</v>
      </c>
      <c r="CX43" s="128">
        <f t="shared" si="71"/>
        <v>0</v>
      </c>
      <c r="CY43" s="128">
        <f t="shared" si="71"/>
        <v>0</v>
      </c>
      <c r="CZ43" s="128">
        <f t="shared" si="71"/>
        <v>0</v>
      </c>
      <c r="DA43" s="128">
        <f t="shared" si="71"/>
        <v>0</v>
      </c>
      <c r="DB43" s="128">
        <f t="shared" si="71"/>
        <v>0</v>
      </c>
      <c r="DC43" s="128">
        <f t="shared" si="71"/>
        <v>0</v>
      </c>
      <c r="DD43" s="128">
        <f t="shared" si="71"/>
        <v>0</v>
      </c>
      <c r="DE43" s="128">
        <f t="shared" si="71"/>
        <v>0</v>
      </c>
      <c r="DF43" s="128">
        <f t="shared" si="71"/>
        <v>0</v>
      </c>
      <c r="DG43" s="128">
        <f t="shared" si="71"/>
        <v>0</v>
      </c>
      <c r="DH43" s="128">
        <f t="shared" si="76"/>
        <v>0</v>
      </c>
      <c r="DI43" s="128">
        <f t="shared" si="76"/>
        <v>0</v>
      </c>
      <c r="DJ43" s="128">
        <f t="shared" si="76"/>
        <v>0</v>
      </c>
      <c r="DK43" s="128">
        <f t="shared" si="76"/>
        <v>0</v>
      </c>
      <c r="DL43" s="128">
        <f t="shared" si="76"/>
        <v>0</v>
      </c>
      <c r="DM43" s="128">
        <f t="shared" si="76"/>
        <v>0</v>
      </c>
      <c r="DN43" s="128">
        <f t="shared" si="76"/>
        <v>0</v>
      </c>
      <c r="DO43" s="128">
        <f t="shared" si="76"/>
        <v>0</v>
      </c>
      <c r="DP43" s="128">
        <f t="shared" si="76"/>
        <v>0</v>
      </c>
      <c r="DQ43" s="128">
        <f t="shared" si="76"/>
        <v>0</v>
      </c>
      <c r="DR43" s="128">
        <f t="shared" si="76"/>
        <v>0</v>
      </c>
      <c r="DS43" s="128">
        <f t="shared" si="76"/>
        <v>0</v>
      </c>
      <c r="DT43" s="128">
        <f t="shared" si="76"/>
        <v>0</v>
      </c>
      <c r="DU43" s="128">
        <f t="shared" si="76"/>
        <v>0</v>
      </c>
      <c r="DV43" s="128">
        <f t="shared" si="76"/>
        <v>0</v>
      </c>
      <c r="DW43" s="128">
        <f t="shared" si="76"/>
        <v>0</v>
      </c>
      <c r="DX43" s="128">
        <f t="shared" si="76"/>
        <v>0</v>
      </c>
      <c r="DY43" s="128">
        <f t="shared" si="76"/>
        <v>0</v>
      </c>
      <c r="DZ43" s="128">
        <f t="shared" si="76"/>
        <v>0</v>
      </c>
      <c r="EA43" s="128">
        <f t="shared" si="76"/>
        <v>0</v>
      </c>
      <c r="EB43" s="128"/>
      <c r="EC43" s="128">
        <f t="shared" si="76"/>
        <v>0</v>
      </c>
      <c r="ED43" s="128">
        <f t="shared" si="76"/>
        <v>0</v>
      </c>
      <c r="EE43" s="128">
        <f t="shared" si="76"/>
        <v>0</v>
      </c>
      <c r="EF43" s="16">
        <f t="shared" si="76"/>
        <v>0</v>
      </c>
      <c r="EG43" s="16">
        <f t="shared" si="76"/>
        <v>0</v>
      </c>
      <c r="EH43" s="16">
        <f t="shared" si="76"/>
        <v>0</v>
      </c>
      <c r="EI43" s="149">
        <f t="shared" si="53"/>
        <v>0</v>
      </c>
      <c r="EJ43" s="132">
        <f>EI43*$B$6</f>
        <v>0</v>
      </c>
    </row>
    <row r="44" spans="1:140" ht="15.6">
      <c r="A44" s="15" t="s">
        <v>141</v>
      </c>
      <c r="B44" s="15">
        <v>14</v>
      </c>
      <c r="C44" s="15" t="s">
        <v>144</v>
      </c>
      <c r="D44" s="794" t="s">
        <v>167</v>
      </c>
      <c r="E44" s="795"/>
      <c r="F44" s="17">
        <f>1/5</f>
        <v>0.2</v>
      </c>
      <c r="G44" s="142">
        <f t="shared" si="67"/>
        <v>0</v>
      </c>
      <c r="H44" s="142">
        <f t="shared" si="67"/>
        <v>0</v>
      </c>
      <c r="I44" s="142">
        <f t="shared" si="67"/>
        <v>0</v>
      </c>
      <c r="J44" s="142">
        <f t="shared" si="67"/>
        <v>0</v>
      </c>
      <c r="K44" s="142">
        <f t="shared" si="67"/>
        <v>0</v>
      </c>
      <c r="L44" s="142">
        <f t="shared" si="67"/>
        <v>0</v>
      </c>
      <c r="M44" s="142">
        <f t="shared" si="67"/>
        <v>0</v>
      </c>
      <c r="N44" s="142">
        <f t="shared" si="67"/>
        <v>0</v>
      </c>
      <c r="O44" s="142">
        <f t="shared" si="68"/>
        <v>0</v>
      </c>
      <c r="P44" s="142">
        <f t="shared" si="68"/>
        <v>0</v>
      </c>
      <c r="Q44" s="142">
        <f t="shared" si="68"/>
        <v>0</v>
      </c>
      <c r="R44" s="142">
        <f t="shared" si="68"/>
        <v>0</v>
      </c>
      <c r="S44" s="142">
        <f t="shared" si="68"/>
        <v>0</v>
      </c>
      <c r="T44" s="142">
        <f t="shared" si="68"/>
        <v>0</v>
      </c>
      <c r="U44" s="142">
        <f t="shared" si="68"/>
        <v>0</v>
      </c>
      <c r="V44" s="142">
        <f t="shared" si="74"/>
        <v>0</v>
      </c>
      <c r="W44" s="142">
        <f t="shared" si="74"/>
        <v>0</v>
      </c>
      <c r="X44" s="142">
        <f t="shared" si="74"/>
        <v>0</v>
      </c>
      <c r="Y44" s="142">
        <f t="shared" si="74"/>
        <v>0</v>
      </c>
      <c r="Z44" s="142">
        <f t="shared" si="74"/>
        <v>0</v>
      </c>
      <c r="AA44" s="142">
        <f t="shared" si="74"/>
        <v>0</v>
      </c>
      <c r="AB44" s="142">
        <f t="shared" si="74"/>
        <v>0</v>
      </c>
      <c r="AC44" s="142">
        <f t="shared" si="74"/>
        <v>0</v>
      </c>
      <c r="AD44" s="142">
        <f t="shared" si="74"/>
        <v>0</v>
      </c>
      <c r="AE44" s="142">
        <f t="shared" si="74"/>
        <v>0</v>
      </c>
      <c r="AF44" s="142">
        <f t="shared" si="74"/>
        <v>0</v>
      </c>
      <c r="AG44" s="142">
        <f t="shared" si="74"/>
        <v>0</v>
      </c>
      <c r="AH44" s="142">
        <f t="shared" si="74"/>
        <v>0</v>
      </c>
      <c r="AI44" s="142">
        <f t="shared" si="74"/>
        <v>0</v>
      </c>
      <c r="AJ44" s="142">
        <f t="shared" si="74"/>
        <v>0</v>
      </c>
      <c r="AK44" s="142">
        <f t="shared" si="74"/>
        <v>0</v>
      </c>
      <c r="AL44" s="142">
        <f t="shared" si="74"/>
        <v>0</v>
      </c>
      <c r="AM44" s="142">
        <f t="shared" si="74"/>
        <v>0</v>
      </c>
      <c r="AN44" s="142">
        <f t="shared" si="74"/>
        <v>0</v>
      </c>
      <c r="AO44" s="142">
        <f t="shared" si="74"/>
        <v>0</v>
      </c>
      <c r="AP44" s="142">
        <f t="shared" si="74"/>
        <v>0</v>
      </c>
      <c r="AQ44" s="142">
        <f t="shared" si="74"/>
        <v>0</v>
      </c>
      <c r="AR44" s="142">
        <f t="shared" si="74"/>
        <v>0</v>
      </c>
      <c r="AS44" s="142">
        <f t="shared" si="74"/>
        <v>0</v>
      </c>
      <c r="AT44" s="142">
        <f t="shared" si="74"/>
        <v>0</v>
      </c>
      <c r="AU44" s="142">
        <f t="shared" si="74"/>
        <v>0</v>
      </c>
      <c r="AV44" s="142">
        <f t="shared" si="74"/>
        <v>0</v>
      </c>
      <c r="AW44" s="142">
        <f t="shared" si="74"/>
        <v>0</v>
      </c>
      <c r="AX44" s="142">
        <f t="shared" si="74"/>
        <v>0</v>
      </c>
      <c r="AY44" s="142">
        <f t="shared" si="74"/>
        <v>0</v>
      </c>
      <c r="AZ44" s="142">
        <f t="shared" si="74"/>
        <v>0</v>
      </c>
      <c r="BA44" s="142">
        <f t="shared" si="76"/>
        <v>0</v>
      </c>
      <c r="BB44" s="142">
        <f t="shared" si="76"/>
        <v>0</v>
      </c>
      <c r="BC44" s="142">
        <f t="shared" si="76"/>
        <v>0</v>
      </c>
      <c r="BD44" s="142">
        <f t="shared" si="76"/>
        <v>0</v>
      </c>
      <c r="BE44" s="142">
        <f t="shared" si="76"/>
        <v>0</v>
      </c>
      <c r="BF44" s="142">
        <f t="shared" si="76"/>
        <v>0</v>
      </c>
      <c r="BG44" s="142">
        <f t="shared" si="77"/>
        <v>0</v>
      </c>
      <c r="BH44" s="142">
        <f t="shared" si="77"/>
        <v>0</v>
      </c>
      <c r="BI44" s="142">
        <f t="shared" si="77"/>
        <v>0</v>
      </c>
      <c r="BJ44" s="142">
        <f t="shared" si="77"/>
        <v>0</v>
      </c>
      <c r="BK44" s="142">
        <f t="shared" si="77"/>
        <v>0</v>
      </c>
      <c r="BL44" s="142">
        <f t="shared" si="77"/>
        <v>0</v>
      </c>
      <c r="BM44" s="142">
        <f t="shared" si="77"/>
        <v>0</v>
      </c>
      <c r="BN44" s="142">
        <f t="shared" si="77"/>
        <v>0</v>
      </c>
      <c r="BO44" s="142">
        <f t="shared" si="77"/>
        <v>0</v>
      </c>
      <c r="BP44" s="142">
        <f t="shared" si="77"/>
        <v>0</v>
      </c>
      <c r="BQ44" s="142">
        <f t="shared" si="77"/>
        <v>0</v>
      </c>
      <c r="BR44" s="142">
        <f t="shared" si="77"/>
        <v>0</v>
      </c>
      <c r="BS44" s="142">
        <f t="shared" si="77"/>
        <v>0</v>
      </c>
      <c r="BT44" s="142">
        <f t="shared" si="76"/>
        <v>0</v>
      </c>
      <c r="BU44" s="142">
        <f t="shared" si="76"/>
        <v>0</v>
      </c>
      <c r="BV44" s="142">
        <f t="shared" si="76"/>
        <v>0</v>
      </c>
      <c r="BW44" s="142">
        <f t="shared" si="76"/>
        <v>0</v>
      </c>
      <c r="BX44" s="142">
        <f t="shared" si="76"/>
        <v>0</v>
      </c>
      <c r="BY44" s="142">
        <f t="shared" si="76"/>
        <v>0</v>
      </c>
      <c r="BZ44" s="142">
        <f t="shared" si="76"/>
        <v>0</v>
      </c>
      <c r="CA44" s="142">
        <f t="shared" si="76"/>
        <v>0</v>
      </c>
      <c r="CB44" s="142">
        <f t="shared" si="76"/>
        <v>0</v>
      </c>
      <c r="CC44" s="142">
        <f t="shared" si="76"/>
        <v>0</v>
      </c>
      <c r="CD44" s="142">
        <f t="shared" si="76"/>
        <v>0</v>
      </c>
      <c r="CE44" s="142">
        <f t="shared" si="76"/>
        <v>0</v>
      </c>
      <c r="CF44" s="142">
        <f t="shared" si="76"/>
        <v>0</v>
      </c>
      <c r="CG44" s="128">
        <f t="shared" si="76"/>
        <v>0</v>
      </c>
      <c r="CH44" s="128">
        <f t="shared" si="76"/>
        <v>0</v>
      </c>
      <c r="CI44" s="128">
        <f t="shared" si="76"/>
        <v>0</v>
      </c>
      <c r="CJ44" s="128">
        <f t="shared" si="76"/>
        <v>0</v>
      </c>
      <c r="CK44" s="128">
        <f t="shared" si="76"/>
        <v>0</v>
      </c>
      <c r="CL44" s="128">
        <f t="shared" si="76"/>
        <v>0</v>
      </c>
      <c r="CM44" s="128">
        <f t="shared" si="76"/>
        <v>0</v>
      </c>
      <c r="CN44" s="128">
        <f t="shared" si="76"/>
        <v>0</v>
      </c>
      <c r="CO44" s="128">
        <f t="shared" si="76"/>
        <v>0</v>
      </c>
      <c r="CP44" s="128">
        <f t="shared" si="76"/>
        <v>0</v>
      </c>
      <c r="CQ44" s="128">
        <f t="shared" si="76"/>
        <v>0</v>
      </c>
      <c r="CR44" s="128">
        <f t="shared" si="76"/>
        <v>0</v>
      </c>
      <c r="CS44" s="128">
        <f t="shared" si="71"/>
        <v>0</v>
      </c>
      <c r="CT44" s="128">
        <f t="shared" si="71"/>
        <v>0</v>
      </c>
      <c r="CU44" s="128">
        <f t="shared" si="71"/>
        <v>0</v>
      </c>
      <c r="CV44" s="128">
        <f t="shared" si="71"/>
        <v>0</v>
      </c>
      <c r="CW44" s="128">
        <f t="shared" si="71"/>
        <v>0</v>
      </c>
      <c r="CX44" s="128">
        <f t="shared" si="71"/>
        <v>0</v>
      </c>
      <c r="CY44" s="128">
        <f t="shared" si="71"/>
        <v>0</v>
      </c>
      <c r="CZ44" s="128">
        <f t="shared" si="71"/>
        <v>0</v>
      </c>
      <c r="DA44" s="128">
        <f t="shared" si="71"/>
        <v>0</v>
      </c>
      <c r="DB44" s="128">
        <f t="shared" si="71"/>
        <v>0</v>
      </c>
      <c r="DC44" s="128">
        <f t="shared" si="71"/>
        <v>0</v>
      </c>
      <c r="DD44" s="128">
        <f t="shared" si="71"/>
        <v>0</v>
      </c>
      <c r="DE44" s="128">
        <f t="shared" si="71"/>
        <v>0</v>
      </c>
      <c r="DF44" s="128">
        <f t="shared" si="71"/>
        <v>0</v>
      </c>
      <c r="DG44" s="128">
        <f t="shared" si="71"/>
        <v>0</v>
      </c>
      <c r="DH44" s="128">
        <f t="shared" si="76"/>
        <v>0</v>
      </c>
      <c r="DI44" s="128">
        <f t="shared" si="76"/>
        <v>0</v>
      </c>
      <c r="DJ44" s="128">
        <f t="shared" si="76"/>
        <v>0</v>
      </c>
      <c r="DK44" s="128">
        <f t="shared" si="76"/>
        <v>0</v>
      </c>
      <c r="DL44" s="128">
        <f t="shared" si="76"/>
        <v>0</v>
      </c>
      <c r="DM44" s="128">
        <f t="shared" si="76"/>
        <v>0</v>
      </c>
      <c r="DN44" s="128">
        <f t="shared" si="76"/>
        <v>0</v>
      </c>
      <c r="DO44" s="128">
        <f t="shared" si="76"/>
        <v>0</v>
      </c>
      <c r="DP44" s="128">
        <f t="shared" si="76"/>
        <v>0</v>
      </c>
      <c r="DQ44" s="128">
        <f t="shared" si="76"/>
        <v>0</v>
      </c>
      <c r="DR44" s="128">
        <f t="shared" si="76"/>
        <v>0</v>
      </c>
      <c r="DS44" s="128">
        <f t="shared" si="76"/>
        <v>0</v>
      </c>
      <c r="DT44" s="128">
        <f t="shared" si="76"/>
        <v>0</v>
      </c>
      <c r="DU44" s="128">
        <f t="shared" si="76"/>
        <v>0</v>
      </c>
      <c r="DV44" s="128">
        <f t="shared" si="76"/>
        <v>0</v>
      </c>
      <c r="DW44" s="128">
        <f t="shared" si="76"/>
        <v>0</v>
      </c>
      <c r="DX44" s="128">
        <f t="shared" si="76"/>
        <v>0</v>
      </c>
      <c r="DY44" s="128">
        <f t="shared" si="76"/>
        <v>0</v>
      </c>
      <c r="DZ44" s="128">
        <f t="shared" si="76"/>
        <v>0</v>
      </c>
      <c r="EA44" s="128">
        <f t="shared" si="76"/>
        <v>0</v>
      </c>
      <c r="EB44" s="128"/>
      <c r="EC44" s="128">
        <f t="shared" si="76"/>
        <v>0</v>
      </c>
      <c r="ED44" s="128">
        <f t="shared" si="76"/>
        <v>0</v>
      </c>
      <c r="EE44" s="128">
        <f t="shared" si="76"/>
        <v>0</v>
      </c>
      <c r="EF44" s="16">
        <f t="shared" si="76"/>
        <v>0</v>
      </c>
      <c r="EG44" s="16">
        <f t="shared" si="76"/>
        <v>0</v>
      </c>
      <c r="EH44" s="16">
        <f t="shared" si="76"/>
        <v>0</v>
      </c>
      <c r="EI44" s="149">
        <f t="shared" si="53"/>
        <v>0</v>
      </c>
      <c r="EJ44" s="132">
        <f>EI44*$B$6</f>
        <v>0</v>
      </c>
    </row>
    <row r="45" spans="1:140" ht="15.6">
      <c r="A45" s="15" t="s">
        <v>141</v>
      </c>
      <c r="B45" s="15">
        <v>15</v>
      </c>
      <c r="C45" s="15" t="s">
        <v>143</v>
      </c>
      <c r="D45" s="794" t="s">
        <v>167</v>
      </c>
      <c r="E45" s="795"/>
      <c r="F45" s="17">
        <v>0.2</v>
      </c>
      <c r="G45" s="142">
        <f t="shared" si="67"/>
        <v>0</v>
      </c>
      <c r="H45" s="142">
        <f t="shared" si="67"/>
        <v>0</v>
      </c>
      <c r="I45" s="142">
        <f t="shared" si="67"/>
        <v>0</v>
      </c>
      <c r="J45" s="142">
        <f t="shared" si="67"/>
        <v>0</v>
      </c>
      <c r="K45" s="142">
        <f t="shared" si="67"/>
        <v>0</v>
      </c>
      <c r="L45" s="142">
        <f t="shared" si="67"/>
        <v>0</v>
      </c>
      <c r="M45" s="142">
        <f t="shared" si="67"/>
        <v>0</v>
      </c>
      <c r="N45" s="142">
        <f t="shared" si="67"/>
        <v>0</v>
      </c>
      <c r="O45" s="142">
        <f t="shared" si="68"/>
        <v>0</v>
      </c>
      <c r="P45" s="142">
        <f t="shared" si="68"/>
        <v>0</v>
      </c>
      <c r="Q45" s="142">
        <f t="shared" si="68"/>
        <v>0</v>
      </c>
      <c r="R45" s="142">
        <f t="shared" si="68"/>
        <v>0</v>
      </c>
      <c r="S45" s="142">
        <f t="shared" si="68"/>
        <v>0</v>
      </c>
      <c r="T45" s="142">
        <f t="shared" si="68"/>
        <v>0</v>
      </c>
      <c r="U45" s="142">
        <f t="shared" si="68"/>
        <v>0</v>
      </c>
      <c r="V45" s="142">
        <f t="shared" si="74"/>
        <v>0</v>
      </c>
      <c r="W45" s="142">
        <f t="shared" ref="W45:AZ45" si="78">ROUNDUP($F45*W$4,0)</f>
        <v>0</v>
      </c>
      <c r="X45" s="142">
        <f t="shared" si="78"/>
        <v>0</v>
      </c>
      <c r="Y45" s="142">
        <f t="shared" si="78"/>
        <v>0</v>
      </c>
      <c r="Z45" s="142">
        <f t="shared" si="78"/>
        <v>0</v>
      </c>
      <c r="AA45" s="142">
        <f t="shared" si="78"/>
        <v>0</v>
      </c>
      <c r="AB45" s="142">
        <f t="shared" si="78"/>
        <v>0</v>
      </c>
      <c r="AC45" s="142">
        <f t="shared" si="78"/>
        <v>0</v>
      </c>
      <c r="AD45" s="142">
        <f t="shared" si="78"/>
        <v>0</v>
      </c>
      <c r="AE45" s="142">
        <f t="shared" si="78"/>
        <v>0</v>
      </c>
      <c r="AF45" s="142">
        <f t="shared" si="78"/>
        <v>0</v>
      </c>
      <c r="AG45" s="142">
        <f t="shared" si="78"/>
        <v>0</v>
      </c>
      <c r="AH45" s="142">
        <f t="shared" si="78"/>
        <v>0</v>
      </c>
      <c r="AI45" s="142">
        <f t="shared" si="78"/>
        <v>0</v>
      </c>
      <c r="AJ45" s="142">
        <f t="shared" si="78"/>
        <v>0</v>
      </c>
      <c r="AK45" s="142">
        <f t="shared" si="78"/>
        <v>0</v>
      </c>
      <c r="AL45" s="142">
        <f t="shared" si="78"/>
        <v>0</v>
      </c>
      <c r="AM45" s="142">
        <f t="shared" si="78"/>
        <v>0</v>
      </c>
      <c r="AN45" s="142">
        <f t="shared" si="78"/>
        <v>0</v>
      </c>
      <c r="AO45" s="142">
        <f t="shared" si="78"/>
        <v>0</v>
      </c>
      <c r="AP45" s="142">
        <f t="shared" si="78"/>
        <v>0</v>
      </c>
      <c r="AQ45" s="142">
        <f t="shared" si="78"/>
        <v>0</v>
      </c>
      <c r="AR45" s="142">
        <f t="shared" si="78"/>
        <v>0</v>
      </c>
      <c r="AS45" s="142">
        <f t="shared" si="78"/>
        <v>0</v>
      </c>
      <c r="AT45" s="142">
        <f t="shared" si="78"/>
        <v>0</v>
      </c>
      <c r="AU45" s="142">
        <f t="shared" si="78"/>
        <v>0</v>
      </c>
      <c r="AV45" s="142">
        <f t="shared" si="78"/>
        <v>0</v>
      </c>
      <c r="AW45" s="142">
        <f t="shared" si="78"/>
        <v>0</v>
      </c>
      <c r="AX45" s="142">
        <f t="shared" si="78"/>
        <v>0</v>
      </c>
      <c r="AY45" s="142">
        <f t="shared" si="78"/>
        <v>0</v>
      </c>
      <c r="AZ45" s="142">
        <f t="shared" si="78"/>
        <v>0</v>
      </c>
      <c r="BA45" s="142">
        <f t="shared" si="76"/>
        <v>0</v>
      </c>
      <c r="BB45" s="142">
        <f t="shared" si="76"/>
        <v>0</v>
      </c>
      <c r="BC45" s="142">
        <f t="shared" si="76"/>
        <v>0</v>
      </c>
      <c r="BD45" s="142">
        <f t="shared" si="76"/>
        <v>0</v>
      </c>
      <c r="BE45" s="142">
        <f t="shared" si="76"/>
        <v>0</v>
      </c>
      <c r="BF45" s="142">
        <f t="shared" si="76"/>
        <v>0</v>
      </c>
      <c r="BG45" s="142">
        <f t="shared" si="77"/>
        <v>0</v>
      </c>
      <c r="BH45" s="142">
        <f t="shared" si="77"/>
        <v>0</v>
      </c>
      <c r="BI45" s="142">
        <f t="shared" si="77"/>
        <v>0</v>
      </c>
      <c r="BJ45" s="142">
        <f t="shared" si="77"/>
        <v>0</v>
      </c>
      <c r="BK45" s="142">
        <f t="shared" si="77"/>
        <v>0</v>
      </c>
      <c r="BL45" s="142">
        <f t="shared" si="77"/>
        <v>0</v>
      </c>
      <c r="BM45" s="142">
        <f t="shared" si="77"/>
        <v>0</v>
      </c>
      <c r="BN45" s="142">
        <f t="shared" si="77"/>
        <v>0</v>
      </c>
      <c r="BO45" s="142">
        <f t="shared" si="77"/>
        <v>0</v>
      </c>
      <c r="BP45" s="142">
        <f t="shared" si="77"/>
        <v>0</v>
      </c>
      <c r="BQ45" s="142">
        <f t="shared" si="77"/>
        <v>0</v>
      </c>
      <c r="BR45" s="142">
        <f t="shared" si="77"/>
        <v>0</v>
      </c>
      <c r="BS45" s="142">
        <f t="shared" si="77"/>
        <v>0</v>
      </c>
      <c r="BT45" s="142">
        <f t="shared" si="76"/>
        <v>0</v>
      </c>
      <c r="BU45" s="142">
        <f t="shared" si="76"/>
        <v>0</v>
      </c>
      <c r="BV45" s="142">
        <f t="shared" si="76"/>
        <v>0</v>
      </c>
      <c r="BW45" s="142">
        <f t="shared" si="76"/>
        <v>0</v>
      </c>
      <c r="BX45" s="142">
        <f t="shared" si="76"/>
        <v>0</v>
      </c>
      <c r="BY45" s="142">
        <f t="shared" si="76"/>
        <v>0</v>
      </c>
      <c r="BZ45" s="142">
        <f t="shared" si="76"/>
        <v>0</v>
      </c>
      <c r="CA45" s="142">
        <f t="shared" si="76"/>
        <v>0</v>
      </c>
      <c r="CB45" s="142">
        <f t="shared" si="76"/>
        <v>0</v>
      </c>
      <c r="CC45" s="142">
        <f t="shared" si="76"/>
        <v>0</v>
      </c>
      <c r="CD45" s="142">
        <f t="shared" si="76"/>
        <v>0</v>
      </c>
      <c r="CE45" s="142">
        <f t="shared" si="76"/>
        <v>0</v>
      </c>
      <c r="CF45" s="142">
        <f t="shared" si="76"/>
        <v>0</v>
      </c>
      <c r="CG45" s="128">
        <f t="shared" si="76"/>
        <v>0</v>
      </c>
      <c r="CH45" s="128">
        <f t="shared" si="76"/>
        <v>0</v>
      </c>
      <c r="CI45" s="128">
        <f t="shared" si="76"/>
        <v>0</v>
      </c>
      <c r="CJ45" s="128">
        <f t="shared" si="76"/>
        <v>0</v>
      </c>
      <c r="CK45" s="128">
        <f t="shared" si="76"/>
        <v>0</v>
      </c>
      <c r="CL45" s="128">
        <f t="shared" si="76"/>
        <v>0</v>
      </c>
      <c r="CM45" s="128">
        <f t="shared" si="76"/>
        <v>0</v>
      </c>
      <c r="CN45" s="128">
        <f t="shared" si="76"/>
        <v>0</v>
      </c>
      <c r="CO45" s="128">
        <f t="shared" si="76"/>
        <v>0</v>
      </c>
      <c r="CP45" s="128">
        <f t="shared" si="76"/>
        <v>0</v>
      </c>
      <c r="CQ45" s="128">
        <f t="shared" si="76"/>
        <v>0</v>
      </c>
      <c r="CR45" s="128">
        <f t="shared" si="76"/>
        <v>0</v>
      </c>
      <c r="CS45" s="128">
        <f t="shared" si="71"/>
        <v>0</v>
      </c>
      <c r="CT45" s="128">
        <f t="shared" si="71"/>
        <v>0</v>
      </c>
      <c r="CU45" s="128">
        <f t="shared" si="71"/>
        <v>0</v>
      </c>
      <c r="CV45" s="128">
        <f t="shared" si="71"/>
        <v>0</v>
      </c>
      <c r="CW45" s="128">
        <f t="shared" si="71"/>
        <v>0</v>
      </c>
      <c r="CX45" s="128">
        <f t="shared" si="71"/>
        <v>0</v>
      </c>
      <c r="CY45" s="128">
        <f t="shared" si="71"/>
        <v>0</v>
      </c>
      <c r="CZ45" s="128">
        <f t="shared" si="71"/>
        <v>0</v>
      </c>
      <c r="DA45" s="128">
        <f t="shared" si="71"/>
        <v>0</v>
      </c>
      <c r="DB45" s="128">
        <f t="shared" si="71"/>
        <v>0</v>
      </c>
      <c r="DC45" s="128">
        <f t="shared" si="71"/>
        <v>0</v>
      </c>
      <c r="DD45" s="128">
        <f t="shared" si="71"/>
        <v>0</v>
      </c>
      <c r="DE45" s="128">
        <f t="shared" si="71"/>
        <v>0</v>
      </c>
      <c r="DF45" s="128">
        <f t="shared" si="71"/>
        <v>0</v>
      </c>
      <c r="DG45" s="128">
        <f t="shared" si="71"/>
        <v>0</v>
      </c>
      <c r="DH45" s="128">
        <f t="shared" si="76"/>
        <v>0</v>
      </c>
      <c r="DI45" s="128">
        <f t="shared" si="76"/>
        <v>0</v>
      </c>
      <c r="DJ45" s="128">
        <f t="shared" si="76"/>
        <v>0</v>
      </c>
      <c r="DK45" s="128">
        <f t="shared" si="76"/>
        <v>0</v>
      </c>
      <c r="DL45" s="128">
        <f t="shared" si="76"/>
        <v>0</v>
      </c>
      <c r="DM45" s="128">
        <f t="shared" si="76"/>
        <v>0</v>
      </c>
      <c r="DN45" s="128">
        <f t="shared" si="76"/>
        <v>0</v>
      </c>
      <c r="DO45" s="128">
        <f t="shared" si="76"/>
        <v>0</v>
      </c>
      <c r="DP45" s="128">
        <f t="shared" si="76"/>
        <v>0</v>
      </c>
      <c r="DQ45" s="128">
        <f t="shared" si="76"/>
        <v>0</v>
      </c>
      <c r="DR45" s="128">
        <f t="shared" si="76"/>
        <v>0</v>
      </c>
      <c r="DS45" s="128">
        <f t="shared" si="76"/>
        <v>0</v>
      </c>
      <c r="DT45" s="128">
        <f t="shared" si="76"/>
        <v>0</v>
      </c>
      <c r="DU45" s="128">
        <f t="shared" ref="V45:EH47" si="79">ROUNDUP($F45*DU$4,0)</f>
        <v>0</v>
      </c>
      <c r="DV45" s="128">
        <f t="shared" si="79"/>
        <v>0</v>
      </c>
      <c r="DW45" s="128">
        <f t="shared" si="79"/>
        <v>0</v>
      </c>
      <c r="DX45" s="128">
        <f t="shared" si="79"/>
        <v>0</v>
      </c>
      <c r="DY45" s="128">
        <f t="shared" si="79"/>
        <v>0</v>
      </c>
      <c r="DZ45" s="128">
        <f t="shared" si="79"/>
        <v>0</v>
      </c>
      <c r="EA45" s="128">
        <f t="shared" si="79"/>
        <v>0</v>
      </c>
      <c r="EB45" s="128"/>
      <c r="EC45" s="128">
        <f t="shared" si="79"/>
        <v>0</v>
      </c>
      <c r="ED45" s="128">
        <f t="shared" si="79"/>
        <v>0</v>
      </c>
      <c r="EE45" s="128">
        <f t="shared" si="79"/>
        <v>0</v>
      </c>
      <c r="EF45" s="16">
        <f t="shared" si="79"/>
        <v>0</v>
      </c>
      <c r="EG45" s="16">
        <f t="shared" si="79"/>
        <v>0</v>
      </c>
      <c r="EH45" s="16">
        <f t="shared" si="79"/>
        <v>0</v>
      </c>
      <c r="EI45" s="149">
        <f t="shared" si="53"/>
        <v>0</v>
      </c>
      <c r="EJ45" s="132">
        <f>EI45*$B$6</f>
        <v>0</v>
      </c>
    </row>
    <row r="46" spans="1:140" ht="15.6">
      <c r="A46" s="15" t="s">
        <v>141</v>
      </c>
      <c r="B46" s="15">
        <v>16</v>
      </c>
      <c r="C46" s="15" t="s">
        <v>142</v>
      </c>
      <c r="D46" s="794" t="s">
        <v>437</v>
      </c>
      <c r="E46" s="795"/>
      <c r="F46" s="17">
        <f>1/2.5</f>
        <v>0.4</v>
      </c>
      <c r="G46" s="142">
        <f t="shared" si="67"/>
        <v>0</v>
      </c>
      <c r="H46" s="142">
        <f t="shared" si="67"/>
        <v>0</v>
      </c>
      <c r="I46" s="142">
        <f t="shared" si="67"/>
        <v>0</v>
      </c>
      <c r="J46" s="142">
        <f t="shared" si="67"/>
        <v>0</v>
      </c>
      <c r="K46" s="142">
        <f t="shared" si="67"/>
        <v>0</v>
      </c>
      <c r="L46" s="142">
        <f t="shared" si="67"/>
        <v>0</v>
      </c>
      <c r="M46" s="142">
        <f t="shared" si="67"/>
        <v>0</v>
      </c>
      <c r="N46" s="142">
        <f t="shared" si="67"/>
        <v>0</v>
      </c>
      <c r="O46" s="142">
        <f t="shared" si="68"/>
        <v>0</v>
      </c>
      <c r="P46" s="142">
        <f t="shared" si="68"/>
        <v>0</v>
      </c>
      <c r="Q46" s="142">
        <f t="shared" si="68"/>
        <v>0</v>
      </c>
      <c r="R46" s="142">
        <f t="shared" si="68"/>
        <v>0</v>
      </c>
      <c r="S46" s="142">
        <f t="shared" si="68"/>
        <v>0</v>
      </c>
      <c r="T46" s="142">
        <f t="shared" si="68"/>
        <v>0</v>
      </c>
      <c r="U46" s="142">
        <f t="shared" si="68"/>
        <v>0</v>
      </c>
      <c r="V46" s="142">
        <f t="shared" si="79"/>
        <v>0</v>
      </c>
      <c r="W46" s="142">
        <f t="shared" si="79"/>
        <v>0</v>
      </c>
      <c r="X46" s="142">
        <f t="shared" si="79"/>
        <v>0</v>
      </c>
      <c r="Y46" s="142">
        <f t="shared" si="79"/>
        <v>0</v>
      </c>
      <c r="Z46" s="142">
        <f t="shared" si="79"/>
        <v>0</v>
      </c>
      <c r="AA46" s="142">
        <f t="shared" si="79"/>
        <v>0</v>
      </c>
      <c r="AB46" s="142">
        <f t="shared" si="79"/>
        <v>0</v>
      </c>
      <c r="AC46" s="142">
        <f t="shared" si="79"/>
        <v>0</v>
      </c>
      <c r="AD46" s="142">
        <f t="shared" si="79"/>
        <v>0</v>
      </c>
      <c r="AE46" s="142">
        <f t="shared" si="79"/>
        <v>0</v>
      </c>
      <c r="AF46" s="142">
        <f t="shared" si="79"/>
        <v>0</v>
      </c>
      <c r="AG46" s="142">
        <f t="shared" si="79"/>
        <v>0</v>
      </c>
      <c r="AH46" s="142">
        <f t="shared" si="79"/>
        <v>0</v>
      </c>
      <c r="AI46" s="142">
        <f t="shared" si="79"/>
        <v>0</v>
      </c>
      <c r="AJ46" s="142">
        <f t="shared" si="79"/>
        <v>0</v>
      </c>
      <c r="AK46" s="142">
        <f t="shared" si="79"/>
        <v>0</v>
      </c>
      <c r="AL46" s="142">
        <f t="shared" si="79"/>
        <v>0</v>
      </c>
      <c r="AM46" s="142">
        <f t="shared" si="79"/>
        <v>0</v>
      </c>
      <c r="AN46" s="142">
        <f t="shared" si="79"/>
        <v>0</v>
      </c>
      <c r="AO46" s="142">
        <f t="shared" si="79"/>
        <v>0</v>
      </c>
      <c r="AP46" s="142">
        <f t="shared" si="79"/>
        <v>0</v>
      </c>
      <c r="AQ46" s="142">
        <f t="shared" si="79"/>
        <v>0</v>
      </c>
      <c r="AR46" s="142">
        <f t="shared" si="79"/>
        <v>0</v>
      </c>
      <c r="AS46" s="142">
        <f t="shared" si="79"/>
        <v>0</v>
      </c>
      <c r="AT46" s="142">
        <f t="shared" si="79"/>
        <v>0</v>
      </c>
      <c r="AU46" s="142">
        <f t="shared" si="79"/>
        <v>0</v>
      </c>
      <c r="AV46" s="142">
        <f t="shared" si="79"/>
        <v>0</v>
      </c>
      <c r="AW46" s="142">
        <f t="shared" si="79"/>
        <v>0</v>
      </c>
      <c r="AX46" s="142">
        <f t="shared" si="79"/>
        <v>0</v>
      </c>
      <c r="AY46" s="142">
        <f t="shared" si="79"/>
        <v>0</v>
      </c>
      <c r="AZ46" s="142">
        <f t="shared" si="79"/>
        <v>0</v>
      </c>
      <c r="BA46" s="142">
        <f t="shared" si="79"/>
        <v>0</v>
      </c>
      <c r="BB46" s="142">
        <f t="shared" si="79"/>
        <v>0</v>
      </c>
      <c r="BC46" s="142">
        <f t="shared" si="79"/>
        <v>0</v>
      </c>
      <c r="BD46" s="142">
        <f t="shared" si="79"/>
        <v>0</v>
      </c>
      <c r="BE46" s="142">
        <f t="shared" si="79"/>
        <v>0</v>
      </c>
      <c r="BF46" s="142">
        <f t="shared" si="79"/>
        <v>0</v>
      </c>
      <c r="BG46" s="142">
        <f t="shared" si="79"/>
        <v>0</v>
      </c>
      <c r="BH46" s="142">
        <f t="shared" si="79"/>
        <v>0</v>
      </c>
      <c r="BI46" s="142">
        <f t="shared" si="79"/>
        <v>0</v>
      </c>
      <c r="BJ46" s="142">
        <f t="shared" si="79"/>
        <v>0</v>
      </c>
      <c r="BK46" s="142">
        <f t="shared" si="79"/>
        <v>0</v>
      </c>
      <c r="BL46" s="142">
        <f t="shared" si="79"/>
        <v>0</v>
      </c>
      <c r="BM46" s="142">
        <f t="shared" si="79"/>
        <v>0</v>
      </c>
      <c r="BN46" s="142">
        <f t="shared" si="79"/>
        <v>0</v>
      </c>
      <c r="BO46" s="142">
        <f t="shared" si="79"/>
        <v>0</v>
      </c>
      <c r="BP46" s="142">
        <f t="shared" si="79"/>
        <v>0</v>
      </c>
      <c r="BQ46" s="142">
        <f t="shared" si="79"/>
        <v>0</v>
      </c>
      <c r="BR46" s="142">
        <f t="shared" si="79"/>
        <v>0</v>
      </c>
      <c r="BS46" s="142">
        <f t="shared" si="79"/>
        <v>0</v>
      </c>
      <c r="BT46" s="142">
        <f t="shared" si="79"/>
        <v>0</v>
      </c>
      <c r="BU46" s="142">
        <f t="shared" si="79"/>
        <v>0</v>
      </c>
      <c r="BV46" s="142">
        <f t="shared" si="79"/>
        <v>0</v>
      </c>
      <c r="BW46" s="142">
        <f t="shared" si="79"/>
        <v>0</v>
      </c>
      <c r="BX46" s="142">
        <f t="shared" si="79"/>
        <v>0</v>
      </c>
      <c r="BY46" s="142">
        <f t="shared" si="79"/>
        <v>0</v>
      </c>
      <c r="BZ46" s="142">
        <f t="shared" si="79"/>
        <v>0</v>
      </c>
      <c r="CA46" s="142">
        <f t="shared" si="79"/>
        <v>0</v>
      </c>
      <c r="CB46" s="142">
        <f t="shared" si="79"/>
        <v>0</v>
      </c>
      <c r="CC46" s="142">
        <f t="shared" si="79"/>
        <v>0</v>
      </c>
      <c r="CD46" s="142">
        <f t="shared" si="79"/>
        <v>0</v>
      </c>
      <c r="CE46" s="142">
        <f t="shared" si="79"/>
        <v>0</v>
      </c>
      <c r="CF46" s="142">
        <f t="shared" si="79"/>
        <v>0</v>
      </c>
      <c r="CG46" s="128">
        <f t="shared" si="79"/>
        <v>0</v>
      </c>
      <c r="CH46" s="128">
        <f t="shared" si="79"/>
        <v>0</v>
      </c>
      <c r="CI46" s="128">
        <f t="shared" si="79"/>
        <v>0</v>
      </c>
      <c r="CJ46" s="128">
        <f t="shared" si="79"/>
        <v>0</v>
      </c>
      <c r="CK46" s="128">
        <f t="shared" si="79"/>
        <v>0</v>
      </c>
      <c r="CL46" s="128">
        <f t="shared" si="79"/>
        <v>0</v>
      </c>
      <c r="CM46" s="128">
        <f t="shared" si="79"/>
        <v>0</v>
      </c>
      <c r="CN46" s="128">
        <f t="shared" si="79"/>
        <v>0</v>
      </c>
      <c r="CO46" s="128">
        <f t="shared" si="79"/>
        <v>0</v>
      </c>
      <c r="CP46" s="128">
        <f t="shared" si="79"/>
        <v>0</v>
      </c>
      <c r="CQ46" s="128">
        <f t="shared" si="79"/>
        <v>0</v>
      </c>
      <c r="CR46" s="128">
        <f t="shared" si="79"/>
        <v>0</v>
      </c>
      <c r="CS46" s="128">
        <f t="shared" si="79"/>
        <v>0</v>
      </c>
      <c r="CT46" s="128">
        <f t="shared" si="79"/>
        <v>0</v>
      </c>
      <c r="CU46" s="128">
        <f t="shared" si="79"/>
        <v>0</v>
      </c>
      <c r="CV46" s="128">
        <f t="shared" si="79"/>
        <v>0</v>
      </c>
      <c r="CW46" s="128">
        <f t="shared" si="79"/>
        <v>0</v>
      </c>
      <c r="CX46" s="128">
        <f t="shared" si="79"/>
        <v>0</v>
      </c>
      <c r="CY46" s="128">
        <f t="shared" si="79"/>
        <v>0</v>
      </c>
      <c r="CZ46" s="128">
        <f t="shared" si="79"/>
        <v>0</v>
      </c>
      <c r="DA46" s="128">
        <f t="shared" si="79"/>
        <v>0</v>
      </c>
      <c r="DB46" s="128">
        <f t="shared" si="79"/>
        <v>0</v>
      </c>
      <c r="DC46" s="128">
        <f t="shared" si="79"/>
        <v>0</v>
      </c>
      <c r="DD46" s="128">
        <f t="shared" si="79"/>
        <v>0</v>
      </c>
      <c r="DE46" s="128">
        <f t="shared" si="79"/>
        <v>0</v>
      </c>
      <c r="DF46" s="128">
        <f t="shared" si="79"/>
        <v>0</v>
      </c>
      <c r="DG46" s="128">
        <f t="shared" si="79"/>
        <v>0</v>
      </c>
      <c r="DH46" s="128">
        <f t="shared" si="79"/>
        <v>0</v>
      </c>
      <c r="DI46" s="128">
        <f t="shared" si="79"/>
        <v>0</v>
      </c>
      <c r="DJ46" s="128">
        <f t="shared" si="79"/>
        <v>0</v>
      </c>
      <c r="DK46" s="128">
        <f t="shared" si="79"/>
        <v>0</v>
      </c>
      <c r="DL46" s="128">
        <f t="shared" si="79"/>
        <v>0</v>
      </c>
      <c r="DM46" s="128">
        <f t="shared" si="79"/>
        <v>0</v>
      </c>
      <c r="DN46" s="128">
        <f t="shared" si="79"/>
        <v>0</v>
      </c>
      <c r="DO46" s="128">
        <f t="shared" si="79"/>
        <v>0</v>
      </c>
      <c r="DP46" s="128">
        <f t="shared" si="79"/>
        <v>0</v>
      </c>
      <c r="DQ46" s="128">
        <f t="shared" si="79"/>
        <v>0</v>
      </c>
      <c r="DR46" s="128">
        <f t="shared" si="79"/>
        <v>0</v>
      </c>
      <c r="DS46" s="128">
        <f t="shared" si="79"/>
        <v>0</v>
      </c>
      <c r="DT46" s="128">
        <f t="shared" si="79"/>
        <v>0</v>
      </c>
      <c r="DU46" s="128">
        <f t="shared" si="79"/>
        <v>0</v>
      </c>
      <c r="DV46" s="128">
        <f t="shared" si="79"/>
        <v>0</v>
      </c>
      <c r="DW46" s="128">
        <f t="shared" si="79"/>
        <v>0</v>
      </c>
      <c r="DX46" s="128">
        <f t="shared" si="79"/>
        <v>0</v>
      </c>
      <c r="DY46" s="128">
        <f t="shared" si="79"/>
        <v>0</v>
      </c>
      <c r="DZ46" s="128">
        <f t="shared" si="79"/>
        <v>0</v>
      </c>
      <c r="EA46" s="128">
        <f t="shared" si="79"/>
        <v>0</v>
      </c>
      <c r="EB46" s="128"/>
      <c r="EC46" s="128">
        <f t="shared" si="79"/>
        <v>0</v>
      </c>
      <c r="ED46" s="128">
        <f t="shared" si="79"/>
        <v>0</v>
      </c>
      <c r="EE46" s="128">
        <f t="shared" si="79"/>
        <v>0</v>
      </c>
      <c r="EF46" s="16">
        <f t="shared" si="79"/>
        <v>0</v>
      </c>
      <c r="EG46" s="16">
        <f t="shared" si="79"/>
        <v>0</v>
      </c>
      <c r="EH46" s="16">
        <f t="shared" si="79"/>
        <v>0</v>
      </c>
      <c r="EI46" s="149">
        <f t="shared" si="53"/>
        <v>0</v>
      </c>
      <c r="EJ46" s="132">
        <f>EI46*$B$6</f>
        <v>0</v>
      </c>
    </row>
    <row r="47" spans="1:140" ht="16.2" thickBot="1">
      <c r="A47" s="15" t="s">
        <v>141</v>
      </c>
      <c r="B47" s="15">
        <v>17</v>
      </c>
      <c r="C47" s="15" t="s">
        <v>140</v>
      </c>
      <c r="D47" s="794" t="s">
        <v>155</v>
      </c>
      <c r="E47" s="795"/>
      <c r="F47" s="17">
        <v>0.1</v>
      </c>
      <c r="G47" s="142">
        <f t="shared" si="67"/>
        <v>0</v>
      </c>
      <c r="H47" s="142">
        <f t="shared" si="67"/>
        <v>0</v>
      </c>
      <c r="I47" s="142">
        <f t="shared" si="67"/>
        <v>0</v>
      </c>
      <c r="J47" s="142">
        <f t="shared" si="67"/>
        <v>0</v>
      </c>
      <c r="K47" s="142">
        <f t="shared" si="67"/>
        <v>0</v>
      </c>
      <c r="L47" s="142">
        <f t="shared" si="67"/>
        <v>0</v>
      </c>
      <c r="M47" s="142">
        <f t="shared" si="67"/>
        <v>0</v>
      </c>
      <c r="N47" s="142">
        <f t="shared" si="67"/>
        <v>0</v>
      </c>
      <c r="O47" s="142">
        <f t="shared" si="68"/>
        <v>0</v>
      </c>
      <c r="P47" s="142">
        <f t="shared" si="68"/>
        <v>0</v>
      </c>
      <c r="Q47" s="142">
        <f t="shared" si="68"/>
        <v>0</v>
      </c>
      <c r="R47" s="142">
        <f t="shared" si="68"/>
        <v>0</v>
      </c>
      <c r="S47" s="142">
        <f t="shared" si="68"/>
        <v>0</v>
      </c>
      <c r="T47" s="142">
        <f t="shared" si="68"/>
        <v>0</v>
      </c>
      <c r="U47" s="142">
        <f t="shared" si="68"/>
        <v>0</v>
      </c>
      <c r="V47" s="142">
        <f t="shared" si="79"/>
        <v>0</v>
      </c>
      <c r="W47" s="142">
        <f t="shared" si="79"/>
        <v>0</v>
      </c>
      <c r="X47" s="142">
        <f t="shared" si="79"/>
        <v>0</v>
      </c>
      <c r="Y47" s="142">
        <f t="shared" si="79"/>
        <v>0</v>
      </c>
      <c r="Z47" s="142">
        <f t="shared" si="79"/>
        <v>0</v>
      </c>
      <c r="AA47" s="142">
        <f t="shared" si="79"/>
        <v>0</v>
      </c>
      <c r="AB47" s="142">
        <f t="shared" si="79"/>
        <v>0</v>
      </c>
      <c r="AC47" s="142">
        <f t="shared" si="79"/>
        <v>0</v>
      </c>
      <c r="AD47" s="142">
        <f t="shared" si="79"/>
        <v>0</v>
      </c>
      <c r="AE47" s="142">
        <f t="shared" si="79"/>
        <v>0</v>
      </c>
      <c r="AF47" s="142">
        <f t="shared" si="79"/>
        <v>0</v>
      </c>
      <c r="AG47" s="142">
        <f t="shared" si="79"/>
        <v>0</v>
      </c>
      <c r="AH47" s="142">
        <f t="shared" si="79"/>
        <v>0</v>
      </c>
      <c r="AI47" s="142">
        <f t="shared" si="79"/>
        <v>0</v>
      </c>
      <c r="AJ47" s="142">
        <f t="shared" si="79"/>
        <v>0</v>
      </c>
      <c r="AK47" s="142">
        <f t="shared" si="79"/>
        <v>0</v>
      </c>
      <c r="AL47" s="142">
        <f t="shared" si="79"/>
        <v>0</v>
      </c>
      <c r="AM47" s="142">
        <f t="shared" si="79"/>
        <v>0</v>
      </c>
      <c r="AN47" s="142">
        <f t="shared" si="79"/>
        <v>0</v>
      </c>
      <c r="AO47" s="142">
        <f t="shared" si="79"/>
        <v>0</v>
      </c>
      <c r="AP47" s="142">
        <f t="shared" si="79"/>
        <v>0</v>
      </c>
      <c r="AQ47" s="142">
        <f t="shared" si="79"/>
        <v>0</v>
      </c>
      <c r="AR47" s="142">
        <f t="shared" si="79"/>
        <v>0</v>
      </c>
      <c r="AS47" s="142">
        <f t="shared" si="79"/>
        <v>0</v>
      </c>
      <c r="AT47" s="142">
        <f t="shared" si="79"/>
        <v>0</v>
      </c>
      <c r="AU47" s="142">
        <f t="shared" si="79"/>
        <v>0</v>
      </c>
      <c r="AV47" s="142">
        <f t="shared" si="79"/>
        <v>0</v>
      </c>
      <c r="AW47" s="142">
        <f t="shared" si="79"/>
        <v>0</v>
      </c>
      <c r="AX47" s="142">
        <f t="shared" si="79"/>
        <v>0</v>
      </c>
      <c r="AY47" s="142">
        <f t="shared" si="79"/>
        <v>0</v>
      </c>
      <c r="AZ47" s="142">
        <f t="shared" si="79"/>
        <v>0</v>
      </c>
      <c r="BA47" s="142">
        <f t="shared" si="79"/>
        <v>0</v>
      </c>
      <c r="BB47" s="142">
        <f t="shared" si="79"/>
        <v>0</v>
      </c>
      <c r="BC47" s="142">
        <f t="shared" si="79"/>
        <v>0</v>
      </c>
      <c r="BD47" s="142">
        <f t="shared" si="79"/>
        <v>0</v>
      </c>
      <c r="BE47" s="142">
        <f t="shared" si="79"/>
        <v>0</v>
      </c>
      <c r="BF47" s="142">
        <f t="shared" si="79"/>
        <v>0</v>
      </c>
      <c r="BG47" s="142">
        <f t="shared" si="79"/>
        <v>0</v>
      </c>
      <c r="BH47" s="142">
        <f t="shared" si="79"/>
        <v>0</v>
      </c>
      <c r="BI47" s="142">
        <f t="shared" si="79"/>
        <v>0</v>
      </c>
      <c r="BJ47" s="142">
        <f t="shared" si="79"/>
        <v>0</v>
      </c>
      <c r="BK47" s="142">
        <f t="shared" si="79"/>
        <v>0</v>
      </c>
      <c r="BL47" s="142">
        <f t="shared" si="79"/>
        <v>0</v>
      </c>
      <c r="BM47" s="142">
        <f t="shared" si="79"/>
        <v>0</v>
      </c>
      <c r="BN47" s="142">
        <f t="shared" si="79"/>
        <v>0</v>
      </c>
      <c r="BO47" s="142">
        <f t="shared" si="79"/>
        <v>0</v>
      </c>
      <c r="BP47" s="142">
        <f t="shared" si="79"/>
        <v>0</v>
      </c>
      <c r="BQ47" s="142">
        <f t="shared" si="79"/>
        <v>0</v>
      </c>
      <c r="BR47" s="142">
        <f t="shared" si="79"/>
        <v>0</v>
      </c>
      <c r="BS47" s="142">
        <f t="shared" si="79"/>
        <v>0</v>
      </c>
      <c r="BT47" s="142">
        <f t="shared" si="79"/>
        <v>0</v>
      </c>
      <c r="BU47" s="142">
        <f t="shared" si="79"/>
        <v>0</v>
      </c>
      <c r="BV47" s="142">
        <f t="shared" si="79"/>
        <v>0</v>
      </c>
      <c r="BW47" s="142">
        <f t="shared" si="79"/>
        <v>0</v>
      </c>
      <c r="BX47" s="142">
        <f t="shared" si="79"/>
        <v>0</v>
      </c>
      <c r="BY47" s="142">
        <f t="shared" si="79"/>
        <v>0</v>
      </c>
      <c r="BZ47" s="142">
        <f t="shared" si="79"/>
        <v>0</v>
      </c>
      <c r="CA47" s="142">
        <f t="shared" si="79"/>
        <v>0</v>
      </c>
      <c r="CB47" s="142">
        <f t="shared" si="79"/>
        <v>0</v>
      </c>
      <c r="CC47" s="142">
        <f t="shared" si="79"/>
        <v>0</v>
      </c>
      <c r="CD47" s="142">
        <f t="shared" si="79"/>
        <v>0</v>
      </c>
      <c r="CE47" s="142">
        <f t="shared" si="79"/>
        <v>0</v>
      </c>
      <c r="CF47" s="142">
        <f t="shared" si="79"/>
        <v>0</v>
      </c>
      <c r="CG47" s="128">
        <f t="shared" si="79"/>
        <v>0</v>
      </c>
      <c r="CH47" s="128">
        <f t="shared" si="79"/>
        <v>0</v>
      </c>
      <c r="CI47" s="128">
        <f t="shared" si="79"/>
        <v>0</v>
      </c>
      <c r="CJ47" s="128">
        <f t="shared" si="79"/>
        <v>0</v>
      </c>
      <c r="CK47" s="128">
        <f t="shared" si="79"/>
        <v>0</v>
      </c>
      <c r="CL47" s="128">
        <f t="shared" si="79"/>
        <v>0</v>
      </c>
      <c r="CM47" s="128">
        <f t="shared" si="79"/>
        <v>0</v>
      </c>
      <c r="CN47" s="128">
        <f t="shared" si="79"/>
        <v>0</v>
      </c>
      <c r="CO47" s="128">
        <f t="shared" si="79"/>
        <v>0</v>
      </c>
      <c r="CP47" s="128">
        <f t="shared" si="79"/>
        <v>0</v>
      </c>
      <c r="CQ47" s="128">
        <f t="shared" si="79"/>
        <v>0</v>
      </c>
      <c r="CR47" s="128">
        <f t="shared" si="79"/>
        <v>0</v>
      </c>
      <c r="CS47" s="128">
        <f t="shared" si="79"/>
        <v>0</v>
      </c>
      <c r="CT47" s="128">
        <f t="shared" si="79"/>
        <v>0</v>
      </c>
      <c r="CU47" s="128">
        <f t="shared" si="79"/>
        <v>0</v>
      </c>
      <c r="CV47" s="128">
        <f t="shared" si="79"/>
        <v>0</v>
      </c>
      <c r="CW47" s="128">
        <f t="shared" si="79"/>
        <v>0</v>
      </c>
      <c r="CX47" s="128">
        <f t="shared" si="79"/>
        <v>0</v>
      </c>
      <c r="CY47" s="128">
        <f t="shared" si="79"/>
        <v>0</v>
      </c>
      <c r="CZ47" s="128">
        <f t="shared" si="79"/>
        <v>0</v>
      </c>
      <c r="DA47" s="128">
        <f t="shared" si="79"/>
        <v>0</v>
      </c>
      <c r="DB47" s="128">
        <f t="shared" si="79"/>
        <v>0</v>
      </c>
      <c r="DC47" s="128">
        <f t="shared" si="79"/>
        <v>0</v>
      </c>
      <c r="DD47" s="128">
        <f t="shared" si="79"/>
        <v>0</v>
      </c>
      <c r="DE47" s="128">
        <f t="shared" si="79"/>
        <v>0</v>
      </c>
      <c r="DF47" s="128">
        <f t="shared" si="79"/>
        <v>0</v>
      </c>
      <c r="DG47" s="128">
        <f t="shared" si="79"/>
        <v>0</v>
      </c>
      <c r="DH47" s="128">
        <f t="shared" si="79"/>
        <v>0</v>
      </c>
      <c r="DI47" s="128">
        <f t="shared" si="79"/>
        <v>0</v>
      </c>
      <c r="DJ47" s="128">
        <f t="shared" si="79"/>
        <v>0</v>
      </c>
      <c r="DK47" s="128">
        <f t="shared" si="79"/>
        <v>0</v>
      </c>
      <c r="DL47" s="128">
        <f t="shared" si="79"/>
        <v>0</v>
      </c>
      <c r="DM47" s="128">
        <f t="shared" si="79"/>
        <v>0</v>
      </c>
      <c r="DN47" s="128">
        <f t="shared" si="79"/>
        <v>0</v>
      </c>
      <c r="DO47" s="128">
        <f t="shared" si="79"/>
        <v>0</v>
      </c>
      <c r="DP47" s="128">
        <f t="shared" si="79"/>
        <v>0</v>
      </c>
      <c r="DQ47" s="128">
        <f t="shared" si="79"/>
        <v>0</v>
      </c>
      <c r="DR47" s="128">
        <f t="shared" si="79"/>
        <v>0</v>
      </c>
      <c r="DS47" s="128">
        <f t="shared" si="79"/>
        <v>0</v>
      </c>
      <c r="DT47" s="128">
        <f t="shared" si="79"/>
        <v>0</v>
      </c>
      <c r="DU47" s="128">
        <f t="shared" si="79"/>
        <v>0</v>
      </c>
      <c r="DV47" s="128">
        <f t="shared" si="79"/>
        <v>0</v>
      </c>
      <c r="DW47" s="128">
        <f t="shared" si="79"/>
        <v>0</v>
      </c>
      <c r="DX47" s="128">
        <f t="shared" si="79"/>
        <v>0</v>
      </c>
      <c r="DY47" s="128">
        <f t="shared" si="79"/>
        <v>0</v>
      </c>
      <c r="DZ47" s="128">
        <f t="shared" si="79"/>
        <v>0</v>
      </c>
      <c r="EA47" s="128">
        <f t="shared" si="79"/>
        <v>0</v>
      </c>
      <c r="EB47" s="128"/>
      <c r="EC47" s="128">
        <f t="shared" si="79"/>
        <v>0</v>
      </c>
      <c r="ED47" s="128">
        <f t="shared" si="79"/>
        <v>0</v>
      </c>
      <c r="EE47" s="128">
        <f t="shared" si="79"/>
        <v>0</v>
      </c>
      <c r="EF47" s="16">
        <f t="shared" si="79"/>
        <v>0</v>
      </c>
      <c r="EG47" s="16">
        <f t="shared" si="79"/>
        <v>0</v>
      </c>
      <c r="EH47" s="16">
        <f t="shared" si="79"/>
        <v>0</v>
      </c>
      <c r="EI47" s="149">
        <f t="shared" si="53"/>
        <v>0</v>
      </c>
      <c r="EJ47" s="133">
        <f>EI47*$B$6</f>
        <v>0</v>
      </c>
    </row>
  </sheetData>
  <sheetProtection password="C9C4" sheet="1" objects="1" scenarios="1"/>
  <autoFilter ref="A8:HB27">
    <filterColumn colId="2">
      <filters>
        <filter val="1יח שוקולד פרווה אישי"/>
        <filter val="טחינה 30 גרם"/>
      </filters>
    </filterColumn>
    <filterColumn colId="3" showButton="0"/>
  </autoFilter>
  <mergeCells count="39">
    <mergeCell ref="D47:E47"/>
    <mergeCell ref="D38:E38"/>
    <mergeCell ref="D39:E39"/>
    <mergeCell ref="D40:E40"/>
    <mergeCell ref="D43:E43"/>
    <mergeCell ref="D41:E41"/>
    <mergeCell ref="D42:E42"/>
    <mergeCell ref="D32:E32"/>
    <mergeCell ref="D33:E33"/>
    <mergeCell ref="D44:E44"/>
    <mergeCell ref="D45:E45"/>
    <mergeCell ref="D46:E46"/>
    <mergeCell ref="D23:E23"/>
    <mergeCell ref="D20:E20"/>
    <mergeCell ref="D18:E18"/>
    <mergeCell ref="D26:E26"/>
    <mergeCell ref="D25:E25"/>
    <mergeCell ref="D24:E24"/>
    <mergeCell ref="D15:E15"/>
    <mergeCell ref="D16:E16"/>
    <mergeCell ref="D17:E17"/>
    <mergeCell ref="D22:E22"/>
    <mergeCell ref="D21:E21"/>
    <mergeCell ref="D8:E8"/>
    <mergeCell ref="D36:E36"/>
    <mergeCell ref="D37:E37"/>
    <mergeCell ref="D29:E29"/>
    <mergeCell ref="D31:E31"/>
    <mergeCell ref="D30:E30"/>
    <mergeCell ref="D9:E9"/>
    <mergeCell ref="D10:E10"/>
    <mergeCell ref="D11:E11"/>
    <mergeCell ref="D12:E12"/>
    <mergeCell ref="D13:E13"/>
    <mergeCell ref="D34:E34"/>
    <mergeCell ref="D35:E35"/>
    <mergeCell ref="D19:E19"/>
    <mergeCell ref="D14:E14"/>
    <mergeCell ref="D27:E27"/>
  </mergeCells>
  <dataValidations count="1">
    <dataValidation type="list" allowBlank="1" showInputMessage="1" showErrorMessage="1" sqref="C30">
      <formula1>$J$81:$J$82</formula1>
    </dataValidation>
  </dataValidations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'א.בוקר פריסה'!$J$102:$J$103</xm:f>
          </x14:formula1>
          <xm:sqref>C12</xm:sqref>
        </x14:dataValidation>
        <x14:dataValidation type="list" allowBlank="1" showInputMessage="1" showErrorMessage="1">
          <x14:formula1>
            <xm:f>'א.בוקר פריסה'!$J$108:$J$109</xm:f>
          </x14:formula1>
          <xm:sqref>C19</xm:sqref>
        </x14:dataValidation>
        <x14:dataValidation type="list" allowBlank="1" showInputMessage="1" showErrorMessage="1">
          <x14:formula1>
            <xm:f>'א.בוקר פריסה'!$J$95:$J$96</xm:f>
          </x14:formula1>
          <xm:sqref>C11</xm:sqref>
        </x14:dataValidation>
        <x14:dataValidation type="list" allowBlank="1" showInputMessage="1" showErrorMessage="1">
          <x14:formula1>
            <xm:f>'א.צהריים פריסה'!$J$100:$J$101</xm:f>
          </x14:formula1>
          <xm:sqref>C33</xm:sqref>
        </x14:dataValidation>
        <x14:dataValidation type="list" allowBlank="1" showInputMessage="1" showErrorMessage="1">
          <x14:formula1>
            <xm:f>'א.בוקר פריסה'!$J$91:$J$93</xm:f>
          </x14:formula1>
          <xm:sqref>C18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1"/>
  <dimension ref="B4:S134"/>
  <sheetViews>
    <sheetView rightToLeft="1" zoomScaleNormal="100" workbookViewId="0">
      <selection activeCell="B12" sqref="B12"/>
    </sheetView>
  </sheetViews>
  <sheetFormatPr defaultColWidth="9" defaultRowHeight="16.5" customHeight="1"/>
  <cols>
    <col min="1" max="1" width="9" style="195"/>
    <col min="2" max="2" width="10.59765625" style="195" bestFit="1" customWidth="1"/>
    <col min="3" max="3" width="18.8984375" style="195" customWidth="1"/>
    <col min="4" max="4" width="22.09765625" style="195" bestFit="1" customWidth="1"/>
    <col min="5" max="5" width="9.09765625" style="210" bestFit="1" customWidth="1"/>
    <col min="6" max="6" width="5.3984375" style="199" bestFit="1" customWidth="1"/>
    <col min="7" max="7" width="10.19921875" style="195" customWidth="1"/>
    <col min="8" max="8" width="20.69921875" style="195" bestFit="1" customWidth="1"/>
    <col min="9" max="9" width="19.69921875" style="195" hidden="1" customWidth="1"/>
    <col min="10" max="10" width="2.8984375" style="195" hidden="1" customWidth="1"/>
    <col min="11" max="11" width="14.59765625" style="195" hidden="1" customWidth="1"/>
    <col min="12" max="12" width="13" style="195" customWidth="1"/>
    <col min="13" max="13" width="0" style="195" hidden="1" customWidth="1"/>
    <col min="14" max="14" width="9" style="195"/>
    <col min="15" max="15" width="10.09765625" style="195" customWidth="1"/>
    <col min="16" max="16" width="19.19921875" style="210" bestFit="1" customWidth="1"/>
    <col min="17" max="18" width="9" style="195"/>
    <col min="19" max="19" width="9" style="323"/>
    <col min="20" max="16384" width="9" style="195"/>
  </cols>
  <sheetData>
    <row r="4" spans="3:19" ht="16.5" customHeight="1" thickBot="1">
      <c r="D4" s="196"/>
      <c r="G4" s="204"/>
      <c r="O4" s="195" t="s">
        <v>533</v>
      </c>
      <c r="P4" s="266" t="s">
        <v>16</v>
      </c>
      <c r="Q4" s="251" t="s">
        <v>59</v>
      </c>
      <c r="R4" s="248" t="s">
        <v>9</v>
      </c>
      <c r="S4" s="195"/>
    </row>
    <row r="5" spans="3:19" ht="16.5" customHeight="1" thickBot="1">
      <c r="C5" s="780" t="s">
        <v>102</v>
      </c>
      <c r="D5" s="807"/>
      <c r="E5" s="807"/>
      <c r="F5" s="807"/>
      <c r="G5" s="807"/>
      <c r="H5" s="808"/>
      <c r="O5" s="195">
        <v>9167</v>
      </c>
      <c r="P5" s="195" t="s">
        <v>96</v>
      </c>
      <c r="Q5" s="265" t="s">
        <v>552</v>
      </c>
      <c r="R5" s="195">
        <f>SUMIF(D4:D127,טבלה24[[#This Row],[מוצר]],$H$4:$H$127)</f>
        <v>0</v>
      </c>
      <c r="S5" s="195"/>
    </row>
    <row r="6" spans="3:19" ht="16.5" customHeight="1">
      <c r="C6" s="783" t="s">
        <v>526</v>
      </c>
      <c r="D6" s="818" t="s">
        <v>16</v>
      </c>
      <c r="E6" s="805" t="s">
        <v>47</v>
      </c>
      <c r="F6" s="809" t="s">
        <v>10</v>
      </c>
      <c r="G6" s="809" t="s">
        <v>9</v>
      </c>
      <c r="H6" s="811" t="s">
        <v>805</v>
      </c>
      <c r="O6" s="195">
        <v>7088</v>
      </c>
      <c r="P6" s="195" t="s">
        <v>566</v>
      </c>
      <c r="Q6" s="210">
        <v>1.5</v>
      </c>
      <c r="R6" s="195">
        <f ca="1">SUMIF(D4:D128,טבלה24[[#This Row],[מוצר]],$H$4:$H$127)</f>
        <v>0</v>
      </c>
      <c r="S6" s="195"/>
    </row>
    <row r="7" spans="3:19" ht="12.75" customHeight="1" thickBot="1">
      <c r="C7" s="785"/>
      <c r="D7" s="819"/>
      <c r="E7" s="806"/>
      <c r="F7" s="810"/>
      <c r="G7" s="810"/>
      <c r="H7" s="812"/>
      <c r="O7" s="195">
        <v>10213</v>
      </c>
      <c r="P7" s="195" t="s">
        <v>802</v>
      </c>
      <c r="Q7" s="265" t="s">
        <v>552</v>
      </c>
      <c r="R7" s="195">
        <f>SUMIF(D4:D127,טבלה24[[#This Row],[מוצר]],$H$4:$H$127)</f>
        <v>0</v>
      </c>
      <c r="S7" s="195"/>
    </row>
    <row r="8" spans="3:19" ht="16.5" customHeight="1">
      <c r="C8" s="816" t="s">
        <v>553</v>
      </c>
      <c r="D8" s="215" t="s">
        <v>104</v>
      </c>
      <c r="E8" s="257" t="s">
        <v>24</v>
      </c>
      <c r="F8" s="178">
        <v>30</v>
      </c>
      <c r="G8" s="191">
        <f>IF(C8=M18,C11,ROUNDUP(C11/F8,0))</f>
        <v>0</v>
      </c>
      <c r="H8" s="252">
        <f>G8</f>
        <v>0</v>
      </c>
      <c r="K8" s="195" t="s">
        <v>116</v>
      </c>
      <c r="O8" s="195">
        <v>10428</v>
      </c>
      <c r="P8" s="195" t="s">
        <v>99</v>
      </c>
      <c r="Q8" s="265" t="s">
        <v>803</v>
      </c>
      <c r="R8" s="195">
        <f>CEILING(SUMIF(D4:D127,טבלה24[[#This Row],[מוצר]],$H$4:$H$127),64)/64</f>
        <v>0</v>
      </c>
      <c r="S8" s="195"/>
    </row>
    <row r="9" spans="3:19" ht="16.5" customHeight="1" thickBot="1">
      <c r="C9" s="817"/>
      <c r="D9" s="583" t="s">
        <v>105</v>
      </c>
      <c r="E9" s="257" t="s">
        <v>6</v>
      </c>
      <c r="F9" s="178">
        <v>25</v>
      </c>
      <c r="G9" s="191">
        <f>IF(C8=M18,C11,ROUNDUP(C11/F9,0))</f>
        <v>0</v>
      </c>
      <c r="H9" s="252">
        <f>G9</f>
        <v>0</v>
      </c>
      <c r="K9" s="195" t="s">
        <v>117</v>
      </c>
      <c r="O9" s="601">
        <v>7454</v>
      </c>
      <c r="P9" s="195" t="s">
        <v>100</v>
      </c>
      <c r="Q9" s="265" t="s">
        <v>6</v>
      </c>
      <c r="R9" s="195">
        <f>SUMIF(D4:D127,טבלה24[[#This Row],[מוצר]],$H$4:$H$127)</f>
        <v>0</v>
      </c>
      <c r="S9" s="195"/>
    </row>
    <row r="10" spans="3:19" ht="16.5" customHeight="1" thickBot="1">
      <c r="C10" s="572" t="str">
        <f>IF(C8=M19,"כמות אנשים סהכ","כמות קבוצות")</f>
        <v>כמות קבוצות</v>
      </c>
      <c r="D10" s="215" t="s">
        <v>106</v>
      </c>
      <c r="E10" s="257" t="s">
        <v>8</v>
      </c>
      <c r="F10" s="178">
        <v>800</v>
      </c>
      <c r="G10" s="191">
        <f>ROUNDUP(C11/F10,0)</f>
        <v>0</v>
      </c>
      <c r="H10" s="252">
        <f>G10</f>
        <v>0</v>
      </c>
      <c r="O10" s="601">
        <v>9383</v>
      </c>
      <c r="P10" s="495" t="s">
        <v>104</v>
      </c>
      <c r="Q10" s="210" t="s">
        <v>24</v>
      </c>
      <c r="R10" s="195">
        <f>SUMIF(D4:D127,טבלה24[[#This Row],[מוצר]],$H$4:$H$127)</f>
        <v>0</v>
      </c>
      <c r="S10" s="195"/>
    </row>
    <row r="11" spans="3:19" ht="16.5" customHeight="1" thickBot="1">
      <c r="C11" s="180"/>
      <c r="D11" s="264" t="s">
        <v>551</v>
      </c>
      <c r="E11" s="259" t="s">
        <v>6</v>
      </c>
      <c r="F11" s="186">
        <v>1</v>
      </c>
      <c r="G11" s="208">
        <f>IF(C8=M18,C11*C13,ROUNDUP(C11/F11,0))</f>
        <v>0</v>
      </c>
      <c r="H11" s="255">
        <f>G11</f>
        <v>0</v>
      </c>
      <c r="K11" s="195" t="s">
        <v>118</v>
      </c>
      <c r="O11" s="601">
        <v>8467</v>
      </c>
      <c r="P11" s="496" t="s">
        <v>105</v>
      </c>
      <c r="Q11" s="210" t="s">
        <v>6</v>
      </c>
      <c r="R11" s="195">
        <f>SUMIF(D4:D127,טבלה24[[#This Row],[מוצר]],$H$4:$H$127)</f>
        <v>0</v>
      </c>
      <c r="S11" s="195"/>
    </row>
    <row r="12" spans="3:19" ht="16.5" customHeight="1" thickBot="1">
      <c r="C12" s="492" t="s">
        <v>747</v>
      </c>
      <c r="E12" s="267"/>
      <c r="F12" s="268"/>
      <c r="G12" s="201"/>
      <c r="H12" s="209"/>
      <c r="K12" s="195" t="s">
        <v>121</v>
      </c>
      <c r="O12" s="195">
        <v>6600</v>
      </c>
      <c r="P12" s="495" t="s">
        <v>106</v>
      </c>
      <c r="Q12" s="210" t="s">
        <v>8</v>
      </c>
      <c r="R12" s="195">
        <f>SUMIF(D4:D127,טבלה24[[#This Row],[מוצר]],$H$4:$H$127)</f>
        <v>0</v>
      </c>
      <c r="S12" s="195"/>
    </row>
    <row r="13" spans="3:19" ht="16.5" customHeight="1" thickBot="1">
      <c r="C13" s="200"/>
      <c r="D13" s="196"/>
      <c r="G13" s="204"/>
      <c r="O13" s="195">
        <v>1014</v>
      </c>
      <c r="P13" s="195" t="s">
        <v>513</v>
      </c>
      <c r="Q13" s="210" t="s">
        <v>24</v>
      </c>
      <c r="R13" s="195">
        <f>SUMIF(D4:D127,טבלה24[[#This Row],[מוצר]],$H$4:$H$127)</f>
        <v>0</v>
      </c>
      <c r="S13" s="195"/>
    </row>
    <row r="14" spans="3:19" ht="16.5" customHeight="1" thickBot="1">
      <c r="D14" s="196"/>
      <c r="G14" s="204"/>
      <c r="K14" s="195" t="s">
        <v>119</v>
      </c>
      <c r="O14" s="195">
        <v>4913</v>
      </c>
      <c r="P14" s="195" t="s">
        <v>511</v>
      </c>
      <c r="Q14" s="210" t="s">
        <v>24</v>
      </c>
      <c r="R14" s="195">
        <f>SUMIF(D4:D127,טבלה24[[#This Row],[מוצר]],$H$4:$H$127)</f>
        <v>0</v>
      </c>
      <c r="S14" s="195"/>
    </row>
    <row r="15" spans="3:19" ht="16.5" customHeight="1" thickBot="1">
      <c r="C15" s="780" t="s">
        <v>510</v>
      </c>
      <c r="D15" s="781"/>
      <c r="E15" s="781"/>
      <c r="F15" s="781"/>
      <c r="G15" s="781"/>
      <c r="H15" s="782"/>
      <c r="O15" s="601">
        <v>9171</v>
      </c>
      <c r="P15" s="195" t="s">
        <v>512</v>
      </c>
      <c r="Q15" s="210" t="s">
        <v>62</v>
      </c>
      <c r="R15" s="195">
        <f>SUMIF(D4:D127,טבלה24[[#This Row],[מוצר]],$H$4:$H$127)</f>
        <v>0</v>
      </c>
      <c r="S15" s="195"/>
    </row>
    <row r="16" spans="3:19" ht="16.5" customHeight="1">
      <c r="C16" s="813" t="s">
        <v>927</v>
      </c>
      <c r="D16" s="173" t="s">
        <v>16</v>
      </c>
      <c r="E16" s="261" t="s">
        <v>47</v>
      </c>
      <c r="F16" s="262" t="s">
        <v>10</v>
      </c>
      <c r="G16" s="262" t="s">
        <v>9</v>
      </c>
      <c r="H16" s="263" t="s">
        <v>42</v>
      </c>
      <c r="K16" s="195" t="s">
        <v>120</v>
      </c>
      <c r="O16" s="195">
        <v>6463</v>
      </c>
      <c r="P16" s="195" t="s">
        <v>13</v>
      </c>
      <c r="Q16" s="210" t="s">
        <v>8</v>
      </c>
      <c r="R16" s="195">
        <f>SUMIF(D4:D127,טבלה24[[#This Row],[מוצר]],$H$4:$H$127)</f>
        <v>0</v>
      </c>
      <c r="S16" s="195"/>
    </row>
    <row r="17" spans="2:19" ht="16.5" customHeight="1">
      <c r="C17" s="814"/>
      <c r="D17" s="215" t="s">
        <v>513</v>
      </c>
      <c r="E17" s="257" t="s">
        <v>24</v>
      </c>
      <c r="F17" s="250"/>
      <c r="G17" s="250">
        <v>0</v>
      </c>
      <c r="H17" s="197"/>
      <c r="O17" s="201">
        <v>11858</v>
      </c>
      <c r="P17" s="181" t="s">
        <v>928</v>
      </c>
      <c r="Q17" s="267"/>
      <c r="R17" s="596">
        <f ca="1">SUMIF(D6:D139,טבלה24[[#This Row],[מוצר]],$H$6:$H$130)</f>
        <v>0</v>
      </c>
      <c r="S17" s="195"/>
    </row>
    <row r="18" spans="2:19" ht="16.5" customHeight="1">
      <c r="C18" s="814"/>
      <c r="D18" s="177" t="s">
        <v>511</v>
      </c>
      <c r="E18" s="257" t="s">
        <v>24</v>
      </c>
      <c r="F18" s="250"/>
      <c r="G18" s="250">
        <v>0</v>
      </c>
      <c r="H18" s="197"/>
      <c r="M18" s="195" t="s">
        <v>553</v>
      </c>
    </row>
    <row r="19" spans="2:19" ht="16.5" customHeight="1">
      <c r="C19" s="814"/>
      <c r="D19" s="177" t="s">
        <v>512</v>
      </c>
      <c r="E19" s="257" t="s">
        <v>62</v>
      </c>
      <c r="F19" s="250"/>
      <c r="G19" s="250">
        <v>0</v>
      </c>
      <c r="H19" s="197"/>
      <c r="M19" s="195" t="s">
        <v>554</v>
      </c>
      <c r="O19" s="195" t="s">
        <v>533</v>
      </c>
      <c r="P19" s="266" t="s">
        <v>16</v>
      </c>
      <c r="Q19" s="251" t="s">
        <v>59</v>
      </c>
      <c r="R19" s="248" t="s">
        <v>9</v>
      </c>
      <c r="S19" s="195"/>
    </row>
    <row r="20" spans="2:19" ht="16.5" customHeight="1" thickBot="1">
      <c r="C20" s="815"/>
      <c r="D20" s="207" t="s">
        <v>13</v>
      </c>
      <c r="E20" s="260" t="s">
        <v>8</v>
      </c>
      <c r="F20" s="254"/>
      <c r="G20" s="254">
        <v>0</v>
      </c>
      <c r="H20" s="198"/>
      <c r="O20" s="209" t="s">
        <v>574</v>
      </c>
      <c r="P20" s="267" t="s">
        <v>32</v>
      </c>
      <c r="Q20" s="267" t="s">
        <v>6</v>
      </c>
      <c r="R20" s="201">
        <f>SUMIF($D$4:$D$127,טבלה2426[[#This Row],[מוצר]],$H$4:$H$127)</f>
        <v>0</v>
      </c>
      <c r="S20" s="195"/>
    </row>
    <row r="21" spans="2:19" ht="16.5" customHeight="1" thickBot="1">
      <c r="O21" s="209" t="s">
        <v>572</v>
      </c>
      <c r="P21" s="203" t="s">
        <v>551</v>
      </c>
      <c r="Q21" s="201" t="s">
        <v>6</v>
      </c>
      <c r="R21" s="377">
        <f>SUMIF($D$4:$D$127,טבלה2426[[#This Row],[מוצר]],$H$4:$H$127)</f>
        <v>0</v>
      </c>
      <c r="S21" s="195"/>
    </row>
    <row r="22" spans="2:19" ht="16.5" customHeight="1" thickBot="1">
      <c r="B22" s="804"/>
      <c r="C22" s="780" t="s">
        <v>95</v>
      </c>
      <c r="D22" s="781"/>
      <c r="E22" s="781"/>
      <c r="F22" s="781"/>
      <c r="G22" s="781"/>
      <c r="H22" s="782"/>
      <c r="O22" s="209"/>
      <c r="P22" s="203"/>
      <c r="Q22" s="201"/>
      <c r="R22" s="377"/>
      <c r="S22" s="376"/>
    </row>
    <row r="23" spans="2:19" ht="16.5" customHeight="1" thickBot="1">
      <c r="B23" s="804"/>
      <c r="C23" s="200" t="s">
        <v>36</v>
      </c>
      <c r="D23" s="494" t="s">
        <v>16</v>
      </c>
      <c r="E23" s="497" t="s">
        <v>47</v>
      </c>
      <c r="F23" s="498" t="s">
        <v>10</v>
      </c>
      <c r="G23" s="499" t="s">
        <v>801</v>
      </c>
      <c r="H23" s="500" t="s">
        <v>22</v>
      </c>
      <c r="I23" s="253"/>
      <c r="O23" s="201"/>
      <c r="P23" s="203"/>
      <c r="Q23" s="267"/>
      <c r="R23" s="201"/>
      <c r="S23" s="376"/>
    </row>
    <row r="24" spans="2:19" ht="16.5" customHeight="1">
      <c r="B24" s="804"/>
      <c r="C24" s="700"/>
      <c r="D24" s="584" t="s">
        <v>96</v>
      </c>
      <c r="E24" s="585" t="s">
        <v>552</v>
      </c>
      <c r="F24" s="586">
        <f>1/21</f>
        <v>4.7619047619047616E-2</v>
      </c>
      <c r="G24" s="587">
        <f>ROUNDUP(F24*C24,0)</f>
        <v>0</v>
      </c>
      <c r="H24" s="588">
        <f>G24*C27</f>
        <v>0</v>
      </c>
      <c r="I24" s="195" t="s">
        <v>485</v>
      </c>
    </row>
    <row r="25" spans="2:19" ht="16.5" customHeight="1" thickBot="1">
      <c r="B25" s="804"/>
      <c r="C25" s="701"/>
      <c r="D25" s="502" t="s">
        <v>566</v>
      </c>
      <c r="E25" s="589" t="s">
        <v>552</v>
      </c>
      <c r="F25" s="192">
        <f>1/21</f>
        <v>4.7619047619047616E-2</v>
      </c>
      <c r="G25" s="383">
        <f>ROUNDUP(F25*C24,0)</f>
        <v>0</v>
      </c>
      <c r="H25" s="590">
        <f>G25*C27</f>
        <v>0</v>
      </c>
      <c r="I25" s="195" t="s">
        <v>337</v>
      </c>
    </row>
    <row r="26" spans="2:19" ht="16.5" customHeight="1" thickBot="1">
      <c r="B26" s="804"/>
      <c r="C26" s="572" t="s">
        <v>555</v>
      </c>
      <c r="D26" s="502" t="s">
        <v>802</v>
      </c>
      <c r="E26" s="589" t="s">
        <v>552</v>
      </c>
      <c r="F26" s="192">
        <f>1/21</f>
        <v>4.7619047619047616E-2</v>
      </c>
      <c r="G26" s="383">
        <f>ROUNDUP(F26*C24,0)</f>
        <v>0</v>
      </c>
      <c r="H26" s="590">
        <f>G26*C27</f>
        <v>0</v>
      </c>
      <c r="I26" s="199" t="s">
        <v>92</v>
      </c>
    </row>
    <row r="27" spans="2:19" ht="16.5" customHeight="1">
      <c r="B27" s="804"/>
      <c r="C27" s="757"/>
      <c r="D27" s="181" t="s">
        <v>99</v>
      </c>
      <c r="E27" s="589" t="s">
        <v>803</v>
      </c>
      <c r="F27" s="192">
        <f>1/2</f>
        <v>0.5</v>
      </c>
      <c r="G27" s="383">
        <f>ROUNDUP(F27*C24,0)</f>
        <v>0</v>
      </c>
      <c r="H27" s="590">
        <f>IF(G27*C27&lt;64,0,G27*C27)</f>
        <v>0</v>
      </c>
    </row>
    <row r="28" spans="2:19" ht="16.5" customHeight="1" thickBot="1">
      <c r="B28" s="804"/>
      <c r="C28" s="758"/>
      <c r="D28" s="181" t="s">
        <v>928</v>
      </c>
      <c r="E28" s="589" t="s">
        <v>929</v>
      </c>
      <c r="F28" s="192">
        <f>1/10</f>
        <v>0.1</v>
      </c>
      <c r="G28" s="383">
        <f>ROUNDUP(F28*C24,0)</f>
        <v>0</v>
      </c>
      <c r="H28" s="590">
        <f>IF(G27*C27&gt;64,0,G28*C27)</f>
        <v>0</v>
      </c>
    </row>
    <row r="29" spans="2:19" ht="16.5" customHeight="1" thickBot="1">
      <c r="B29" s="804"/>
      <c r="C29" s="501"/>
      <c r="D29" s="181" t="s">
        <v>100</v>
      </c>
      <c r="E29" s="589" t="s">
        <v>6</v>
      </c>
      <c r="F29" s="192">
        <f>1/20</f>
        <v>0.05</v>
      </c>
      <c r="G29" s="383">
        <f>ROUNDUP(F29*C24,0)</f>
        <v>0</v>
      </c>
      <c r="H29" s="590">
        <f>G29*C27</f>
        <v>0</v>
      </c>
      <c r="I29" s="195" t="s">
        <v>339</v>
      </c>
    </row>
    <row r="30" spans="2:19" ht="27" customHeight="1" thickBot="1">
      <c r="B30" s="804"/>
      <c r="C30" s="501"/>
      <c r="D30" s="502" t="s">
        <v>32</v>
      </c>
      <c r="E30" s="591" t="s">
        <v>6</v>
      </c>
      <c r="F30" s="192">
        <v>1</v>
      </c>
      <c r="G30" s="383">
        <f>ROUNDUP(F30*C27,0)</f>
        <v>0</v>
      </c>
      <c r="H30" s="590">
        <f>G30*C27</f>
        <v>0</v>
      </c>
      <c r="I30" s="574"/>
    </row>
    <row r="31" spans="2:19" ht="16.5" customHeight="1" thickBot="1">
      <c r="B31" s="804"/>
      <c r="C31" s="501"/>
      <c r="D31" s="503" t="s">
        <v>551</v>
      </c>
      <c r="E31" s="592" t="s">
        <v>6</v>
      </c>
      <c r="F31" s="374">
        <v>1</v>
      </c>
      <c r="G31" s="386">
        <f>ROUNDUP(F31*C24,0)</f>
        <v>0</v>
      </c>
      <c r="H31" s="593">
        <f>G31*C27</f>
        <v>0</v>
      </c>
      <c r="I31" s="504" t="s">
        <v>42</v>
      </c>
    </row>
    <row r="32" spans="2:19" ht="16.5" customHeight="1" thickBot="1">
      <c r="B32" s="595"/>
      <c r="I32" s="505"/>
      <c r="J32" s="199">
        <v>0</v>
      </c>
    </row>
    <row r="33" spans="2:10" ht="16.5" customHeight="1" thickBot="1">
      <c r="B33" s="804"/>
      <c r="C33" s="780" t="s">
        <v>95</v>
      </c>
      <c r="D33" s="781"/>
      <c r="E33" s="781"/>
      <c r="F33" s="781"/>
      <c r="G33" s="781"/>
      <c r="H33" s="782"/>
      <c r="I33" s="506"/>
      <c r="J33" s="199">
        <v>2</v>
      </c>
    </row>
    <row r="34" spans="2:10" ht="16.5" customHeight="1" thickBot="1">
      <c r="B34" s="804"/>
      <c r="C34" s="200" t="s">
        <v>36</v>
      </c>
      <c r="D34" s="575" t="s">
        <v>16</v>
      </c>
      <c r="E34" s="497" t="s">
        <v>47</v>
      </c>
      <c r="F34" s="498" t="s">
        <v>10</v>
      </c>
      <c r="G34" s="499" t="s">
        <v>801</v>
      </c>
      <c r="H34" s="500" t="s">
        <v>22</v>
      </c>
      <c r="I34" s="506"/>
      <c r="J34" s="199"/>
    </row>
    <row r="35" spans="2:10" ht="16.5" customHeight="1">
      <c r="B35" s="804"/>
      <c r="C35" s="700"/>
      <c r="D35" s="584" t="s">
        <v>96</v>
      </c>
      <c r="E35" s="585" t="s">
        <v>552</v>
      </c>
      <c r="F35" s="586">
        <f>1/21</f>
        <v>4.7619047619047616E-2</v>
      </c>
      <c r="G35" s="587">
        <f>ROUNDUP(F35*C35,0)</f>
        <v>0</v>
      </c>
      <c r="H35" s="588">
        <f>G35*C38</f>
        <v>0</v>
      </c>
      <c r="I35" s="506"/>
      <c r="J35" s="199">
        <v>3</v>
      </c>
    </row>
    <row r="36" spans="2:10" ht="16.5" customHeight="1" thickBot="1">
      <c r="B36" s="804"/>
      <c r="C36" s="701"/>
      <c r="D36" s="502" t="s">
        <v>566</v>
      </c>
      <c r="E36" s="589" t="s">
        <v>552</v>
      </c>
      <c r="F36" s="192">
        <f>1/21</f>
        <v>4.7619047619047616E-2</v>
      </c>
      <c r="G36" s="383">
        <f>ROUNDUP(F36*C35,0)</f>
        <v>0</v>
      </c>
      <c r="H36" s="590">
        <f>G36*C38</f>
        <v>0</v>
      </c>
      <c r="I36" s="506"/>
      <c r="J36" s="199">
        <v>4</v>
      </c>
    </row>
    <row r="37" spans="2:10" ht="16.5" customHeight="1" thickBot="1">
      <c r="B37" s="804"/>
      <c r="C37" s="572" t="s">
        <v>555</v>
      </c>
      <c r="D37" s="502" t="s">
        <v>802</v>
      </c>
      <c r="E37" s="589" t="s">
        <v>552</v>
      </c>
      <c r="F37" s="192">
        <f>1/21</f>
        <v>4.7619047619047616E-2</v>
      </c>
      <c r="G37" s="383">
        <f>ROUNDUP(F37*C35,0)</f>
        <v>0</v>
      </c>
      <c r="H37" s="590">
        <f>G37*C38</f>
        <v>0</v>
      </c>
      <c r="I37" s="507"/>
      <c r="J37" s="199">
        <v>5</v>
      </c>
    </row>
    <row r="38" spans="2:10" ht="16.5" customHeight="1" thickBot="1">
      <c r="B38" s="804"/>
      <c r="C38" s="757"/>
      <c r="D38" s="181" t="s">
        <v>99</v>
      </c>
      <c r="E38" s="589" t="s">
        <v>803</v>
      </c>
      <c r="F38" s="192">
        <f>1/2</f>
        <v>0.5</v>
      </c>
      <c r="G38" s="383">
        <f>ROUNDUP(F38*C35,0)</f>
        <v>0</v>
      </c>
      <c r="H38" s="590">
        <f>IF(G38*C38&lt;64,0,G38*C38)</f>
        <v>0</v>
      </c>
      <c r="I38" s="508"/>
      <c r="J38" s="199">
        <v>6</v>
      </c>
    </row>
    <row r="39" spans="2:10" ht="16.5" customHeight="1" thickBot="1">
      <c r="B39" s="804"/>
      <c r="C39" s="758"/>
      <c r="D39" s="181" t="s">
        <v>928</v>
      </c>
      <c r="E39" s="589" t="s">
        <v>929</v>
      </c>
      <c r="F39" s="192">
        <f>1/10</f>
        <v>0.1</v>
      </c>
      <c r="G39" s="383">
        <f>ROUNDUP(F39*C35,0)</f>
        <v>0</v>
      </c>
      <c r="H39" s="590">
        <f>IF(G38*C38&gt;64,0,G39*C38)</f>
        <v>0</v>
      </c>
      <c r="J39" s="199">
        <v>7</v>
      </c>
    </row>
    <row r="40" spans="2:10" ht="16.5" customHeight="1" thickBot="1">
      <c r="B40" s="804"/>
      <c r="C40" s="501"/>
      <c r="D40" s="181" t="s">
        <v>100</v>
      </c>
      <c r="E40" s="589" t="s">
        <v>6</v>
      </c>
      <c r="F40" s="192">
        <f>1/20</f>
        <v>0.05</v>
      </c>
      <c r="G40" s="383">
        <f>ROUNDUP(F40*C35,0)</f>
        <v>0</v>
      </c>
      <c r="H40" s="590">
        <f>G40*C38</f>
        <v>0</v>
      </c>
      <c r="I40" s="574"/>
      <c r="J40" s="199">
        <v>8</v>
      </c>
    </row>
    <row r="41" spans="2:10" ht="16.5" customHeight="1" thickBot="1">
      <c r="B41" s="804"/>
      <c r="C41" s="501"/>
      <c r="D41" s="502" t="s">
        <v>32</v>
      </c>
      <c r="E41" s="591" t="s">
        <v>6</v>
      </c>
      <c r="F41" s="192">
        <v>1</v>
      </c>
      <c r="G41" s="383">
        <f>ROUNDUP(F41*C38,0)</f>
        <v>0</v>
      </c>
      <c r="H41" s="590">
        <f>G41*C38</f>
        <v>0</v>
      </c>
      <c r="I41" s="504" t="s">
        <v>42</v>
      </c>
      <c r="J41" s="199">
        <v>9</v>
      </c>
    </row>
    <row r="42" spans="2:10" ht="16.5" customHeight="1" thickBot="1">
      <c r="B42" s="804"/>
      <c r="C42" s="501"/>
      <c r="D42" s="503" t="s">
        <v>551</v>
      </c>
      <c r="E42" s="592" t="s">
        <v>6</v>
      </c>
      <c r="F42" s="374">
        <v>1</v>
      </c>
      <c r="G42" s="386">
        <f>ROUNDUP(F42*C35,0)</f>
        <v>0</v>
      </c>
      <c r="H42" s="593">
        <f>G42*C38</f>
        <v>0</v>
      </c>
      <c r="I42" s="505"/>
      <c r="J42" s="199">
        <v>10</v>
      </c>
    </row>
    <row r="43" spans="2:10" ht="16.5" customHeight="1" thickBot="1">
      <c r="B43" s="594"/>
      <c r="C43" s="501"/>
      <c r="D43" s="597"/>
      <c r="E43" s="598"/>
      <c r="F43" s="599"/>
      <c r="G43" s="597"/>
      <c r="H43" s="597"/>
      <c r="I43" s="600"/>
      <c r="J43" s="199"/>
    </row>
    <row r="44" spans="2:10" ht="16.5" customHeight="1" thickBot="1">
      <c r="B44" s="594"/>
      <c r="C44" s="780" t="s">
        <v>95</v>
      </c>
      <c r="D44" s="781"/>
      <c r="E44" s="781"/>
      <c r="F44" s="781"/>
      <c r="G44" s="781"/>
      <c r="H44" s="782"/>
      <c r="I44" s="506"/>
      <c r="J44" s="199">
        <v>11</v>
      </c>
    </row>
    <row r="45" spans="2:10" ht="16.5" customHeight="1" thickBot="1">
      <c r="B45" s="594"/>
      <c r="C45" s="200" t="s">
        <v>36</v>
      </c>
      <c r="D45" s="575" t="s">
        <v>16</v>
      </c>
      <c r="E45" s="497" t="s">
        <v>47</v>
      </c>
      <c r="F45" s="498" t="s">
        <v>10</v>
      </c>
      <c r="G45" s="499" t="s">
        <v>801</v>
      </c>
      <c r="H45" s="500" t="s">
        <v>22</v>
      </c>
      <c r="I45" s="506"/>
      <c r="J45" s="199">
        <v>12</v>
      </c>
    </row>
    <row r="46" spans="2:10" ht="16.5" customHeight="1">
      <c r="B46" s="594"/>
      <c r="C46" s="700"/>
      <c r="D46" s="584" t="s">
        <v>96</v>
      </c>
      <c r="E46" s="585" t="s">
        <v>552</v>
      </c>
      <c r="F46" s="586">
        <f>1/21</f>
        <v>4.7619047619047616E-2</v>
      </c>
      <c r="G46" s="587">
        <f>ROUNDUP(F46*C46,0)</f>
        <v>0</v>
      </c>
      <c r="H46" s="588">
        <f>G46*C49</f>
        <v>0</v>
      </c>
      <c r="I46" s="506"/>
      <c r="J46" s="199">
        <v>13</v>
      </c>
    </row>
    <row r="47" spans="2:10" ht="16.5" customHeight="1" thickBot="1">
      <c r="B47" s="594"/>
      <c r="C47" s="701"/>
      <c r="D47" s="502" t="s">
        <v>566</v>
      </c>
      <c r="E47" s="589" t="s">
        <v>552</v>
      </c>
      <c r="F47" s="192">
        <f>1/21</f>
        <v>4.7619047619047616E-2</v>
      </c>
      <c r="G47" s="383">
        <f>ROUNDUP(F47*C46,0)</f>
        <v>0</v>
      </c>
      <c r="H47" s="590">
        <f>G47*C49</f>
        <v>0</v>
      </c>
      <c r="I47" s="506"/>
      <c r="J47" s="199">
        <v>14</v>
      </c>
    </row>
    <row r="48" spans="2:10" ht="16.5" customHeight="1" thickBot="1">
      <c r="B48" s="594"/>
      <c r="C48" s="572" t="s">
        <v>555</v>
      </c>
      <c r="D48" s="502" t="s">
        <v>802</v>
      </c>
      <c r="E48" s="589" t="s">
        <v>552</v>
      </c>
      <c r="F48" s="192">
        <f>1/21</f>
        <v>4.7619047619047616E-2</v>
      </c>
      <c r="G48" s="383">
        <f>ROUNDUP(F48*C46,0)</f>
        <v>0</v>
      </c>
      <c r="H48" s="590">
        <f>G48*C49</f>
        <v>0</v>
      </c>
      <c r="I48" s="507"/>
      <c r="J48" s="199">
        <v>15</v>
      </c>
    </row>
    <row r="49" spans="2:10" ht="16.5" customHeight="1" thickBot="1">
      <c r="B49" s="594"/>
      <c r="C49" s="757"/>
      <c r="D49" s="181" t="s">
        <v>99</v>
      </c>
      <c r="E49" s="589" t="s">
        <v>803</v>
      </c>
      <c r="F49" s="192">
        <f>1/2</f>
        <v>0.5</v>
      </c>
      <c r="G49" s="383">
        <f>ROUNDUP(F49*C46,0)</f>
        <v>0</v>
      </c>
      <c r="H49" s="590">
        <f>IF(G49*C49&lt;64,0,G49*C49)</f>
        <v>0</v>
      </c>
      <c r="I49" s="508"/>
      <c r="J49" s="199">
        <v>16</v>
      </c>
    </row>
    <row r="50" spans="2:10" ht="16.5" customHeight="1" thickBot="1">
      <c r="B50" s="594"/>
      <c r="C50" s="758"/>
      <c r="D50" s="181" t="s">
        <v>928</v>
      </c>
      <c r="E50" s="589" t="s">
        <v>929</v>
      </c>
      <c r="F50" s="192">
        <f>1/10</f>
        <v>0.1</v>
      </c>
      <c r="G50" s="383">
        <f>ROUNDUP(F50*C46,0)</f>
        <v>0</v>
      </c>
      <c r="H50" s="590">
        <f>IF(G49*C49&gt;64,0,G50*C49)</f>
        <v>0</v>
      </c>
      <c r="J50" s="199">
        <v>17</v>
      </c>
    </row>
    <row r="51" spans="2:10" ht="16.5" customHeight="1" thickBot="1">
      <c r="B51" s="594"/>
      <c r="C51" s="501"/>
      <c r="D51" s="181" t="s">
        <v>100</v>
      </c>
      <c r="E51" s="589" t="s">
        <v>6</v>
      </c>
      <c r="F51" s="192">
        <f>1/20</f>
        <v>0.05</v>
      </c>
      <c r="G51" s="383">
        <f>ROUNDUP(F51*C46,0)</f>
        <v>0</v>
      </c>
      <c r="H51" s="590">
        <f>G51*C49</f>
        <v>0</v>
      </c>
      <c r="I51" s="574"/>
      <c r="J51" s="199">
        <v>18</v>
      </c>
    </row>
    <row r="52" spans="2:10" ht="16.5" customHeight="1" thickBot="1">
      <c r="B52" s="594"/>
      <c r="C52" s="501"/>
      <c r="D52" s="502" t="s">
        <v>32</v>
      </c>
      <c r="E52" s="591" t="s">
        <v>6</v>
      </c>
      <c r="F52" s="192">
        <v>1</v>
      </c>
      <c r="G52" s="383">
        <f>ROUNDUP(F52*C49,0)</f>
        <v>0</v>
      </c>
      <c r="H52" s="590">
        <f>G52*C49</f>
        <v>0</v>
      </c>
      <c r="I52" s="504" t="s">
        <v>42</v>
      </c>
      <c r="J52" s="199">
        <v>19</v>
      </c>
    </row>
    <row r="53" spans="2:10" ht="16.5" customHeight="1" thickBot="1">
      <c r="B53" s="594"/>
      <c r="C53" s="501"/>
      <c r="D53" s="503" t="s">
        <v>551</v>
      </c>
      <c r="E53" s="592" t="s">
        <v>6</v>
      </c>
      <c r="F53" s="374">
        <v>1</v>
      </c>
      <c r="G53" s="386">
        <f>ROUNDUP(F53*C46,0)</f>
        <v>0</v>
      </c>
      <c r="H53" s="593">
        <f>G53*C49</f>
        <v>0</v>
      </c>
      <c r="I53" s="505"/>
      <c r="J53" s="199">
        <v>20</v>
      </c>
    </row>
    <row r="54" spans="2:10" ht="16.5" customHeight="1" thickBot="1">
      <c r="B54" s="594"/>
      <c r="C54" s="501"/>
      <c r="D54" s="597"/>
      <c r="E54" s="598"/>
      <c r="F54" s="599"/>
      <c r="G54" s="597"/>
      <c r="H54" s="597"/>
      <c r="I54" s="600"/>
      <c r="J54" s="199"/>
    </row>
    <row r="55" spans="2:10" ht="16.5" customHeight="1" thickBot="1">
      <c r="B55" s="594"/>
      <c r="C55" s="780" t="s">
        <v>95</v>
      </c>
      <c r="D55" s="781"/>
      <c r="E55" s="781"/>
      <c r="F55" s="781"/>
      <c r="G55" s="781"/>
      <c r="H55" s="782"/>
      <c r="I55" s="506"/>
    </row>
    <row r="56" spans="2:10" ht="16.5" customHeight="1" thickBot="1">
      <c r="B56" s="594"/>
      <c r="C56" s="200" t="s">
        <v>36</v>
      </c>
      <c r="D56" s="575" t="s">
        <v>16</v>
      </c>
      <c r="E56" s="497" t="s">
        <v>47</v>
      </c>
      <c r="F56" s="498" t="s">
        <v>10</v>
      </c>
      <c r="G56" s="499" t="s">
        <v>801</v>
      </c>
      <c r="H56" s="500" t="s">
        <v>22</v>
      </c>
      <c r="I56" s="506"/>
    </row>
    <row r="57" spans="2:10" ht="16.5" customHeight="1">
      <c r="B57" s="594"/>
      <c r="C57" s="700"/>
      <c r="D57" s="584" t="s">
        <v>96</v>
      </c>
      <c r="E57" s="585" t="s">
        <v>552</v>
      </c>
      <c r="F57" s="586">
        <f>1/21</f>
        <v>4.7619047619047616E-2</v>
      </c>
      <c r="G57" s="587">
        <f>ROUNDUP(F57*C57,0)</f>
        <v>0</v>
      </c>
      <c r="H57" s="588">
        <f>G57*C60</f>
        <v>0</v>
      </c>
      <c r="I57" s="506"/>
    </row>
    <row r="58" spans="2:10" ht="16.5" customHeight="1" thickBot="1">
      <c r="B58" s="594"/>
      <c r="C58" s="701"/>
      <c r="D58" s="502" t="s">
        <v>566</v>
      </c>
      <c r="E58" s="589" t="s">
        <v>552</v>
      </c>
      <c r="F58" s="192">
        <f>1/21</f>
        <v>4.7619047619047616E-2</v>
      </c>
      <c r="G58" s="383">
        <f>ROUNDUP(F58*C57,0)</f>
        <v>0</v>
      </c>
      <c r="H58" s="590">
        <f>G58*C60</f>
        <v>0</v>
      </c>
      <c r="I58" s="506"/>
    </row>
    <row r="59" spans="2:10" ht="16.5" customHeight="1" thickBot="1">
      <c r="B59" s="594"/>
      <c r="C59" s="572" t="s">
        <v>555</v>
      </c>
      <c r="D59" s="502" t="s">
        <v>802</v>
      </c>
      <c r="E59" s="589" t="s">
        <v>552</v>
      </c>
      <c r="F59" s="192">
        <f>1/21</f>
        <v>4.7619047619047616E-2</v>
      </c>
      <c r="G59" s="383">
        <f>ROUNDUP(F59*C57,0)</f>
        <v>0</v>
      </c>
      <c r="H59" s="590">
        <f>G59*C60</f>
        <v>0</v>
      </c>
      <c r="I59" s="507"/>
    </row>
    <row r="60" spans="2:10" ht="16.5" customHeight="1" thickBot="1">
      <c r="B60" s="594"/>
      <c r="C60" s="757"/>
      <c r="D60" s="181" t="s">
        <v>99</v>
      </c>
      <c r="E60" s="589" t="s">
        <v>803</v>
      </c>
      <c r="F60" s="192">
        <f>1/2</f>
        <v>0.5</v>
      </c>
      <c r="G60" s="383">
        <f>ROUNDUP(F60*C57,0)</f>
        <v>0</v>
      </c>
      <c r="H60" s="590">
        <f>IF(G60*C60&lt;64,0,G60*C60)</f>
        <v>0</v>
      </c>
      <c r="I60" s="508"/>
    </row>
    <row r="61" spans="2:10" ht="16.5" customHeight="1" thickBot="1">
      <c r="B61" s="594"/>
      <c r="C61" s="758"/>
      <c r="D61" s="181" t="s">
        <v>928</v>
      </c>
      <c r="E61" s="589" t="s">
        <v>929</v>
      </c>
      <c r="F61" s="192">
        <f>1/10</f>
        <v>0.1</v>
      </c>
      <c r="G61" s="383">
        <f>ROUNDUP(F61*C57,0)</f>
        <v>0</v>
      </c>
      <c r="H61" s="590">
        <f>IF(G60*C60&gt;64,0,G61*C60)</f>
        <v>0</v>
      </c>
    </row>
    <row r="62" spans="2:10" ht="16.5" customHeight="1" thickBot="1">
      <c r="B62" s="594"/>
      <c r="C62" s="501"/>
      <c r="D62" s="181" t="s">
        <v>100</v>
      </c>
      <c r="E62" s="589" t="s">
        <v>6</v>
      </c>
      <c r="F62" s="192">
        <f>1/20</f>
        <v>0.05</v>
      </c>
      <c r="G62" s="383">
        <f>ROUNDUP(F62*C57,0)</f>
        <v>0</v>
      </c>
      <c r="H62" s="590">
        <f>G62*C60</f>
        <v>0</v>
      </c>
      <c r="I62" s="574"/>
    </row>
    <row r="63" spans="2:10" ht="16.5" customHeight="1" thickBot="1">
      <c r="B63" s="594"/>
      <c r="C63" s="501"/>
      <c r="D63" s="502" t="s">
        <v>32</v>
      </c>
      <c r="E63" s="591" t="s">
        <v>6</v>
      </c>
      <c r="F63" s="192">
        <v>1</v>
      </c>
      <c r="G63" s="383">
        <f>ROUNDUP(F63*C60,0)</f>
        <v>0</v>
      </c>
      <c r="H63" s="590">
        <f>G63*C60</f>
        <v>0</v>
      </c>
      <c r="I63" s="504" t="s">
        <v>42</v>
      </c>
    </row>
    <row r="64" spans="2:10" ht="16.5" customHeight="1" thickBot="1">
      <c r="B64" s="594"/>
      <c r="C64" s="501"/>
      <c r="D64" s="503" t="s">
        <v>551</v>
      </c>
      <c r="E64" s="592" t="s">
        <v>6</v>
      </c>
      <c r="F64" s="374">
        <v>1</v>
      </c>
      <c r="G64" s="386">
        <f>ROUNDUP(F64*C57,0)</f>
        <v>0</v>
      </c>
      <c r="H64" s="593">
        <f>G64*C60</f>
        <v>0</v>
      </c>
      <c r="I64" s="505"/>
    </row>
    <row r="65" spans="2:9" ht="16.5" customHeight="1" thickBot="1">
      <c r="B65" s="594"/>
      <c r="C65" s="501"/>
      <c r="D65" s="597"/>
      <c r="E65" s="598"/>
      <c r="F65" s="599"/>
      <c r="G65" s="597"/>
      <c r="H65" s="597"/>
      <c r="I65" s="600"/>
    </row>
    <row r="66" spans="2:9" ht="16.5" customHeight="1" thickBot="1">
      <c r="B66" s="594"/>
      <c r="C66" s="780" t="s">
        <v>95</v>
      </c>
      <c r="D66" s="781"/>
      <c r="E66" s="781"/>
      <c r="F66" s="781"/>
      <c r="G66" s="781"/>
      <c r="H66" s="782"/>
      <c r="I66" s="506"/>
    </row>
    <row r="67" spans="2:9" ht="16.5" customHeight="1" thickBot="1">
      <c r="B67" s="594"/>
      <c r="C67" s="200" t="s">
        <v>36</v>
      </c>
      <c r="D67" s="575" t="s">
        <v>16</v>
      </c>
      <c r="E67" s="497" t="s">
        <v>47</v>
      </c>
      <c r="F67" s="498" t="s">
        <v>10</v>
      </c>
      <c r="G67" s="499" t="s">
        <v>801</v>
      </c>
      <c r="H67" s="500" t="s">
        <v>22</v>
      </c>
      <c r="I67" s="506"/>
    </row>
    <row r="68" spans="2:9" ht="16.5" customHeight="1">
      <c r="B68" s="594"/>
      <c r="C68" s="700"/>
      <c r="D68" s="584" t="s">
        <v>96</v>
      </c>
      <c r="E68" s="585" t="s">
        <v>552</v>
      </c>
      <c r="F68" s="586">
        <f>1/21</f>
        <v>4.7619047619047616E-2</v>
      </c>
      <c r="G68" s="587">
        <f>ROUNDUP(F68*C68,0)</f>
        <v>0</v>
      </c>
      <c r="H68" s="588">
        <f>G68*C71</f>
        <v>0</v>
      </c>
      <c r="I68" s="506"/>
    </row>
    <row r="69" spans="2:9" ht="16.5" customHeight="1" thickBot="1">
      <c r="B69" s="594"/>
      <c r="C69" s="701"/>
      <c r="D69" s="502" t="s">
        <v>566</v>
      </c>
      <c r="E69" s="589" t="s">
        <v>552</v>
      </c>
      <c r="F69" s="192">
        <f>1/21</f>
        <v>4.7619047619047616E-2</v>
      </c>
      <c r="G69" s="383">
        <f>ROUNDUP(F69*C68,0)</f>
        <v>0</v>
      </c>
      <c r="H69" s="590">
        <f>G69*C71</f>
        <v>0</v>
      </c>
      <c r="I69" s="506"/>
    </row>
    <row r="70" spans="2:9" ht="16.5" customHeight="1" thickBot="1">
      <c r="B70" s="594"/>
      <c r="C70" s="572" t="s">
        <v>555</v>
      </c>
      <c r="D70" s="502" t="s">
        <v>802</v>
      </c>
      <c r="E70" s="589" t="s">
        <v>552</v>
      </c>
      <c r="F70" s="192">
        <f>1/21</f>
        <v>4.7619047619047616E-2</v>
      </c>
      <c r="G70" s="383">
        <f>ROUNDUP(F70*C68,0)</f>
        <v>0</v>
      </c>
      <c r="H70" s="590">
        <f>G70*C71</f>
        <v>0</v>
      </c>
      <c r="I70" s="507"/>
    </row>
    <row r="71" spans="2:9" ht="16.5" customHeight="1" thickBot="1">
      <c r="B71" s="594"/>
      <c r="C71" s="757"/>
      <c r="D71" s="181" t="s">
        <v>99</v>
      </c>
      <c r="E71" s="589" t="s">
        <v>803</v>
      </c>
      <c r="F71" s="192">
        <f>1/2</f>
        <v>0.5</v>
      </c>
      <c r="G71" s="383">
        <f>ROUNDUP(F71*C68,0)</f>
        <v>0</v>
      </c>
      <c r="H71" s="590">
        <f>IF(G71*C71&lt;64,0,G71*C71)</f>
        <v>0</v>
      </c>
      <c r="I71" s="508"/>
    </row>
    <row r="72" spans="2:9" ht="16.5" customHeight="1" thickBot="1">
      <c r="B72" s="594"/>
      <c r="C72" s="758"/>
      <c r="D72" s="181" t="s">
        <v>928</v>
      </c>
      <c r="E72" s="589" t="s">
        <v>929</v>
      </c>
      <c r="F72" s="192">
        <f>1/10</f>
        <v>0.1</v>
      </c>
      <c r="G72" s="383">
        <f>ROUNDUP(F72*C68,0)</f>
        <v>0</v>
      </c>
      <c r="H72" s="590">
        <f>IF(G71*C71&gt;64,0,G72*C71)</f>
        <v>0</v>
      </c>
    </row>
    <row r="73" spans="2:9" ht="16.5" customHeight="1" thickBot="1">
      <c r="B73" s="594"/>
      <c r="C73" s="501"/>
      <c r="D73" s="181" t="s">
        <v>100</v>
      </c>
      <c r="E73" s="589" t="s">
        <v>6</v>
      </c>
      <c r="F73" s="192">
        <f>1/20</f>
        <v>0.05</v>
      </c>
      <c r="G73" s="383">
        <f>ROUNDUP(F73*C68,0)</f>
        <v>0</v>
      </c>
      <c r="H73" s="590">
        <f>G73*C71</f>
        <v>0</v>
      </c>
      <c r="I73" s="574"/>
    </row>
    <row r="74" spans="2:9" ht="16.5" customHeight="1" thickBot="1">
      <c r="B74" s="594"/>
      <c r="C74" s="501"/>
      <c r="D74" s="502" t="s">
        <v>32</v>
      </c>
      <c r="E74" s="591" t="s">
        <v>6</v>
      </c>
      <c r="F74" s="192">
        <v>1</v>
      </c>
      <c r="G74" s="383">
        <f>ROUNDUP(F74*C71,0)</f>
        <v>0</v>
      </c>
      <c r="H74" s="590">
        <f>G74*C71</f>
        <v>0</v>
      </c>
      <c r="I74" s="504" t="s">
        <v>42</v>
      </c>
    </row>
    <row r="75" spans="2:9" ht="16.5" customHeight="1" thickBot="1">
      <c r="B75" s="594"/>
      <c r="C75" s="501"/>
      <c r="D75" s="503" t="s">
        <v>551</v>
      </c>
      <c r="E75" s="592" t="s">
        <v>6</v>
      </c>
      <c r="F75" s="374">
        <v>1</v>
      </c>
      <c r="G75" s="386">
        <f>ROUNDUP(F75*C68,0)</f>
        <v>0</v>
      </c>
      <c r="H75" s="593">
        <f>G75*C71</f>
        <v>0</v>
      </c>
      <c r="I75" s="505"/>
    </row>
    <row r="76" spans="2:9" ht="16.5" customHeight="1" thickBot="1">
      <c r="B76" s="594"/>
      <c r="C76" s="501"/>
      <c r="D76" s="597"/>
      <c r="E76" s="598"/>
      <c r="F76" s="599"/>
      <c r="G76" s="597"/>
      <c r="H76" s="597"/>
      <c r="I76" s="600"/>
    </row>
    <row r="77" spans="2:9" ht="16.5" customHeight="1" thickBot="1">
      <c r="B77" s="594"/>
      <c r="C77" s="780" t="s">
        <v>95</v>
      </c>
      <c r="D77" s="781"/>
      <c r="E77" s="781"/>
      <c r="F77" s="781"/>
      <c r="G77" s="781"/>
      <c r="H77" s="782"/>
      <c r="I77" s="506"/>
    </row>
    <row r="78" spans="2:9" ht="16.5" customHeight="1" thickBot="1">
      <c r="B78" s="594"/>
      <c r="C78" s="200" t="s">
        <v>36</v>
      </c>
      <c r="D78" s="575" t="s">
        <v>16</v>
      </c>
      <c r="E78" s="497" t="s">
        <v>47</v>
      </c>
      <c r="F78" s="498" t="s">
        <v>10</v>
      </c>
      <c r="G78" s="499" t="s">
        <v>801</v>
      </c>
      <c r="H78" s="500" t="s">
        <v>22</v>
      </c>
      <c r="I78" s="506"/>
    </row>
    <row r="79" spans="2:9" ht="16.5" customHeight="1">
      <c r="B79" s="594"/>
      <c r="C79" s="700"/>
      <c r="D79" s="584" t="s">
        <v>96</v>
      </c>
      <c r="E79" s="585" t="s">
        <v>552</v>
      </c>
      <c r="F79" s="586">
        <f>1/21</f>
        <v>4.7619047619047616E-2</v>
      </c>
      <c r="G79" s="587">
        <f>ROUNDUP(F79*C79,0)</f>
        <v>0</v>
      </c>
      <c r="H79" s="588">
        <f>G79*C82</f>
        <v>0</v>
      </c>
      <c r="I79" s="506"/>
    </row>
    <row r="80" spans="2:9" ht="16.5" customHeight="1" thickBot="1">
      <c r="B80" s="594"/>
      <c r="C80" s="701"/>
      <c r="D80" s="502" t="s">
        <v>566</v>
      </c>
      <c r="E80" s="589" t="s">
        <v>552</v>
      </c>
      <c r="F80" s="192">
        <f>1/21</f>
        <v>4.7619047619047616E-2</v>
      </c>
      <c r="G80" s="383">
        <f>ROUNDUP(F80*C79,0)</f>
        <v>0</v>
      </c>
      <c r="H80" s="590">
        <f>G80*C82</f>
        <v>0</v>
      </c>
      <c r="I80" s="506"/>
    </row>
    <row r="81" spans="2:9" ht="16.5" customHeight="1" thickBot="1">
      <c r="B81" s="594"/>
      <c r="C81" s="572" t="s">
        <v>555</v>
      </c>
      <c r="D81" s="502" t="s">
        <v>802</v>
      </c>
      <c r="E81" s="589" t="s">
        <v>552</v>
      </c>
      <c r="F81" s="192">
        <f>1/21</f>
        <v>4.7619047619047616E-2</v>
      </c>
      <c r="G81" s="383">
        <f>ROUNDUP(F81*C79,0)</f>
        <v>0</v>
      </c>
      <c r="H81" s="590">
        <f>G81*C82</f>
        <v>0</v>
      </c>
      <c r="I81" s="507"/>
    </row>
    <row r="82" spans="2:9" ht="16.5" customHeight="1" thickBot="1">
      <c r="B82" s="594"/>
      <c r="C82" s="757"/>
      <c r="D82" s="181" t="s">
        <v>99</v>
      </c>
      <c r="E82" s="589" t="s">
        <v>803</v>
      </c>
      <c r="F82" s="192">
        <f>1/2</f>
        <v>0.5</v>
      </c>
      <c r="G82" s="383">
        <f>ROUNDUP(F82*C79,0)</f>
        <v>0</v>
      </c>
      <c r="H82" s="590">
        <f>IF(G82*C82&lt;64,0,G82*C82)</f>
        <v>0</v>
      </c>
      <c r="I82" s="508"/>
    </row>
    <row r="83" spans="2:9" ht="16.5" customHeight="1" thickBot="1">
      <c r="B83" s="594"/>
      <c r="C83" s="758"/>
      <c r="D83" s="181" t="s">
        <v>928</v>
      </c>
      <c r="E83" s="589" t="s">
        <v>929</v>
      </c>
      <c r="F83" s="192">
        <f>1/10</f>
        <v>0.1</v>
      </c>
      <c r="G83" s="383">
        <f>ROUNDUP(F83*C79,0)</f>
        <v>0</v>
      </c>
      <c r="H83" s="590">
        <f>IF(G82*C82&gt;64,0,G83*C82)</f>
        <v>0</v>
      </c>
    </row>
    <row r="84" spans="2:9" ht="16.5" customHeight="1" thickBot="1">
      <c r="B84" s="594"/>
      <c r="C84" s="501"/>
      <c r="D84" s="181" t="s">
        <v>100</v>
      </c>
      <c r="E84" s="589" t="s">
        <v>6</v>
      </c>
      <c r="F84" s="192">
        <f>1/20</f>
        <v>0.05</v>
      </c>
      <c r="G84" s="383">
        <f>ROUNDUP(F84*C79,0)</f>
        <v>0</v>
      </c>
      <c r="H84" s="590">
        <f>G84*C82</f>
        <v>0</v>
      </c>
      <c r="I84" s="574"/>
    </row>
    <row r="85" spans="2:9" ht="16.5" customHeight="1" thickBot="1">
      <c r="B85" s="594"/>
      <c r="C85" s="501"/>
      <c r="D85" s="502" t="s">
        <v>32</v>
      </c>
      <c r="E85" s="591" t="s">
        <v>6</v>
      </c>
      <c r="F85" s="192">
        <v>1</v>
      </c>
      <c r="G85" s="383">
        <f>ROUNDUP(F85*C82,0)</f>
        <v>0</v>
      </c>
      <c r="H85" s="590">
        <f>G85*C82</f>
        <v>0</v>
      </c>
      <c r="I85" s="504" t="s">
        <v>42</v>
      </c>
    </row>
    <row r="86" spans="2:9" ht="16.5" customHeight="1" thickBot="1">
      <c r="B86" s="594"/>
      <c r="C86" s="501"/>
      <c r="D86" s="503" t="s">
        <v>551</v>
      </c>
      <c r="E86" s="592" t="s">
        <v>6</v>
      </c>
      <c r="F86" s="374">
        <v>1</v>
      </c>
      <c r="G86" s="386">
        <f>ROUNDUP(F86*C79,0)</f>
        <v>0</v>
      </c>
      <c r="H86" s="593">
        <f>G86*C82</f>
        <v>0</v>
      </c>
      <c r="I86" s="505"/>
    </row>
    <row r="87" spans="2:9" ht="16.5" customHeight="1" thickBot="1">
      <c r="B87" s="594"/>
      <c r="C87" s="501"/>
      <c r="D87" s="597"/>
      <c r="E87" s="598"/>
      <c r="F87" s="599"/>
      <c r="G87" s="597"/>
      <c r="H87" s="597"/>
      <c r="I87" s="600"/>
    </row>
    <row r="88" spans="2:9" ht="16.5" customHeight="1" thickBot="1">
      <c r="B88" s="594"/>
      <c r="C88" s="780" t="s">
        <v>95</v>
      </c>
      <c r="D88" s="781"/>
      <c r="E88" s="781"/>
      <c r="F88" s="781"/>
      <c r="G88" s="781"/>
      <c r="H88" s="782"/>
      <c r="I88" s="506"/>
    </row>
    <row r="89" spans="2:9" ht="16.5" customHeight="1" thickBot="1">
      <c r="B89" s="594"/>
      <c r="C89" s="200" t="s">
        <v>36</v>
      </c>
      <c r="D89" s="575" t="s">
        <v>16</v>
      </c>
      <c r="E89" s="497" t="s">
        <v>47</v>
      </c>
      <c r="F89" s="498" t="s">
        <v>10</v>
      </c>
      <c r="G89" s="499" t="s">
        <v>801</v>
      </c>
      <c r="H89" s="500" t="s">
        <v>22</v>
      </c>
      <c r="I89" s="506"/>
    </row>
    <row r="90" spans="2:9" ht="16.5" customHeight="1">
      <c r="B90" s="594"/>
      <c r="C90" s="700"/>
      <c r="D90" s="584" t="s">
        <v>96</v>
      </c>
      <c r="E90" s="585" t="s">
        <v>552</v>
      </c>
      <c r="F90" s="586">
        <f>1/21</f>
        <v>4.7619047619047616E-2</v>
      </c>
      <c r="G90" s="587">
        <f>ROUNDUP(F90*C90,0)</f>
        <v>0</v>
      </c>
      <c r="H90" s="588">
        <f>G90*C93</f>
        <v>0</v>
      </c>
      <c r="I90" s="506"/>
    </row>
    <row r="91" spans="2:9" ht="16.5" customHeight="1" thickBot="1">
      <c r="B91" s="594"/>
      <c r="C91" s="701"/>
      <c r="D91" s="502" t="s">
        <v>566</v>
      </c>
      <c r="E91" s="589" t="s">
        <v>552</v>
      </c>
      <c r="F91" s="192">
        <f>1/21</f>
        <v>4.7619047619047616E-2</v>
      </c>
      <c r="G91" s="383">
        <f>ROUNDUP(F91*C90,0)</f>
        <v>0</v>
      </c>
      <c r="H91" s="590">
        <f>G91*C93</f>
        <v>0</v>
      </c>
      <c r="I91" s="506"/>
    </row>
    <row r="92" spans="2:9" ht="16.5" customHeight="1" thickBot="1">
      <c r="B92" s="594"/>
      <c r="C92" s="572" t="s">
        <v>555</v>
      </c>
      <c r="D92" s="502" t="s">
        <v>802</v>
      </c>
      <c r="E92" s="589" t="s">
        <v>552</v>
      </c>
      <c r="F92" s="192">
        <f>1/21</f>
        <v>4.7619047619047616E-2</v>
      </c>
      <c r="G92" s="383">
        <f>ROUNDUP(F92*C90,0)</f>
        <v>0</v>
      </c>
      <c r="H92" s="590">
        <f>G92*C93</f>
        <v>0</v>
      </c>
      <c r="I92" s="507"/>
    </row>
    <row r="93" spans="2:9" ht="16.5" customHeight="1" thickBot="1">
      <c r="B93" s="594"/>
      <c r="C93" s="757"/>
      <c r="D93" s="181" t="s">
        <v>99</v>
      </c>
      <c r="E93" s="589" t="s">
        <v>803</v>
      </c>
      <c r="F93" s="192">
        <f>1/2</f>
        <v>0.5</v>
      </c>
      <c r="G93" s="383">
        <f>ROUNDUP(F93*C90,0)</f>
        <v>0</v>
      </c>
      <c r="H93" s="590">
        <f>IF(G93*C93&lt;64,0,G93*C93)</f>
        <v>0</v>
      </c>
      <c r="I93" s="508"/>
    </row>
    <row r="94" spans="2:9" ht="16.5" customHeight="1" thickBot="1">
      <c r="B94" s="594"/>
      <c r="C94" s="758"/>
      <c r="D94" s="181" t="s">
        <v>928</v>
      </c>
      <c r="E94" s="589" t="s">
        <v>929</v>
      </c>
      <c r="F94" s="192">
        <f>1/10</f>
        <v>0.1</v>
      </c>
      <c r="G94" s="383">
        <f>ROUNDUP(F94*C90,0)</f>
        <v>0</v>
      </c>
      <c r="H94" s="590">
        <f>IF(G93*C93&gt;64,0,G94*C93)</f>
        <v>0</v>
      </c>
    </row>
    <row r="95" spans="2:9" ht="16.5" customHeight="1" thickBot="1">
      <c r="B95" s="594"/>
      <c r="C95" s="501"/>
      <c r="D95" s="181" t="s">
        <v>100</v>
      </c>
      <c r="E95" s="589" t="s">
        <v>6</v>
      </c>
      <c r="F95" s="192">
        <f>1/20</f>
        <v>0.05</v>
      </c>
      <c r="G95" s="383">
        <f>ROUNDUP(F95*C90,0)</f>
        <v>0</v>
      </c>
      <c r="H95" s="590">
        <f>G95*C93</f>
        <v>0</v>
      </c>
      <c r="I95" s="574"/>
    </row>
    <row r="96" spans="2:9" ht="16.5" customHeight="1" thickBot="1">
      <c r="B96" s="594"/>
      <c r="C96" s="501"/>
      <c r="D96" s="502" t="s">
        <v>32</v>
      </c>
      <c r="E96" s="591" t="s">
        <v>6</v>
      </c>
      <c r="F96" s="192">
        <v>1</v>
      </c>
      <c r="G96" s="383">
        <f>ROUNDUP(F96*C93,0)</f>
        <v>0</v>
      </c>
      <c r="H96" s="590">
        <f>G96*C93</f>
        <v>0</v>
      </c>
      <c r="I96" s="504" t="s">
        <v>42</v>
      </c>
    </row>
    <row r="97" spans="2:9" ht="16.5" customHeight="1" thickBot="1">
      <c r="B97" s="594"/>
      <c r="C97" s="501"/>
      <c r="D97" s="503" t="s">
        <v>551</v>
      </c>
      <c r="E97" s="592" t="s">
        <v>6</v>
      </c>
      <c r="F97" s="374">
        <v>1</v>
      </c>
      <c r="G97" s="386">
        <f>ROUNDUP(F97*C90,0)</f>
        <v>0</v>
      </c>
      <c r="H97" s="593">
        <f>G97*C93</f>
        <v>0</v>
      </c>
      <c r="I97" s="505"/>
    </row>
    <row r="98" spans="2:9" ht="16.5" customHeight="1">
      <c r="B98" s="594"/>
      <c r="C98" s="501"/>
      <c r="D98" s="203"/>
      <c r="E98" s="270"/>
      <c r="F98" s="202"/>
      <c r="G98" s="203"/>
      <c r="H98" s="203"/>
      <c r="I98" s="600"/>
    </row>
    <row r="99" spans="2:9" ht="16.5" customHeight="1">
      <c r="B99" s="594"/>
      <c r="C99" s="253"/>
      <c r="D99" s="253"/>
      <c r="E99" s="253"/>
      <c r="F99" s="253"/>
      <c r="G99" s="253"/>
      <c r="H99" s="253"/>
      <c r="I99" s="506"/>
    </row>
    <row r="100" spans="2:9" ht="16.5" customHeight="1">
      <c r="B100" s="594"/>
      <c r="C100" s="253"/>
      <c r="D100" s="253"/>
      <c r="E100" s="253"/>
      <c r="F100" s="253"/>
      <c r="G100" s="253"/>
      <c r="H100" s="253"/>
      <c r="I100" s="506"/>
    </row>
    <row r="101" spans="2:9" ht="16.5" customHeight="1">
      <c r="B101" s="594"/>
      <c r="C101" s="253"/>
      <c r="D101" s="253"/>
      <c r="E101" s="253"/>
      <c r="F101" s="253"/>
      <c r="G101" s="253"/>
      <c r="H101" s="253"/>
      <c r="I101" s="506"/>
    </row>
    <row r="102" spans="2:9" ht="16.5" customHeight="1">
      <c r="B102" s="594"/>
      <c r="C102" s="253"/>
      <c r="D102" s="253"/>
      <c r="E102" s="253"/>
      <c r="F102" s="253"/>
      <c r="G102" s="253"/>
      <c r="H102" s="253"/>
      <c r="I102" s="506"/>
    </row>
    <row r="103" spans="2:9" ht="16.5" customHeight="1">
      <c r="B103" s="594"/>
      <c r="C103" s="253"/>
      <c r="D103" s="253"/>
      <c r="E103" s="253"/>
      <c r="F103" s="253"/>
      <c r="G103" s="253"/>
      <c r="H103" s="253"/>
      <c r="I103" s="507"/>
    </row>
    <row r="104" spans="2:9" ht="16.5" customHeight="1" thickBot="1">
      <c r="B104" s="594"/>
      <c r="C104" s="253"/>
      <c r="D104" s="253"/>
      <c r="E104" s="253"/>
      <c r="F104" s="253"/>
      <c r="G104" s="253"/>
      <c r="H104" s="253"/>
      <c r="I104" s="508"/>
    </row>
    <row r="105" spans="2:9" ht="16.5" customHeight="1" thickBot="1">
      <c r="C105" s="253"/>
      <c r="D105" s="253"/>
      <c r="E105" s="253"/>
      <c r="F105" s="253"/>
      <c r="G105" s="253"/>
      <c r="H105" s="253"/>
    </row>
    <row r="106" spans="2:9" ht="16.5" customHeight="1" thickBot="1">
      <c r="C106" s="253"/>
      <c r="D106" s="253"/>
      <c r="E106" s="253"/>
      <c r="F106" s="253"/>
      <c r="G106" s="253"/>
      <c r="H106" s="253"/>
      <c r="I106" s="574"/>
    </row>
    <row r="107" spans="2:9" ht="16.5" customHeight="1" thickBot="1">
      <c r="C107" s="253"/>
      <c r="D107" s="253"/>
      <c r="E107" s="253"/>
      <c r="F107" s="253"/>
      <c r="G107" s="253"/>
      <c r="H107" s="253"/>
      <c r="I107" s="504" t="s">
        <v>42</v>
      </c>
    </row>
    <row r="108" spans="2:9" ht="16.5" customHeight="1">
      <c r="C108" s="253"/>
      <c r="D108" s="253"/>
      <c r="E108" s="253"/>
      <c r="F108" s="253"/>
      <c r="G108" s="253"/>
      <c r="H108" s="253"/>
      <c r="I108" s="505"/>
    </row>
    <row r="109" spans="2:9" ht="16.5" customHeight="1">
      <c r="C109" s="253"/>
      <c r="D109" s="253"/>
      <c r="E109" s="253"/>
      <c r="F109" s="253"/>
      <c r="G109" s="253"/>
      <c r="H109" s="253"/>
      <c r="I109" s="506"/>
    </row>
    <row r="110" spans="2:9" ht="16.5" customHeight="1">
      <c r="C110" s="253"/>
      <c r="D110" s="253"/>
      <c r="E110" s="253"/>
      <c r="F110" s="253"/>
      <c r="G110" s="253"/>
      <c r="H110" s="253"/>
      <c r="I110" s="506"/>
    </row>
    <row r="111" spans="2:9" ht="16.5" customHeight="1">
      <c r="C111" s="253"/>
      <c r="D111" s="253"/>
      <c r="E111" s="253"/>
      <c r="F111" s="253"/>
      <c r="G111" s="253"/>
      <c r="H111" s="253"/>
      <c r="I111" s="506"/>
    </row>
    <row r="112" spans="2:9" ht="16.5" customHeight="1">
      <c r="C112" s="253"/>
      <c r="D112" s="253"/>
      <c r="E112" s="253"/>
      <c r="F112" s="253"/>
      <c r="G112" s="253"/>
      <c r="H112" s="253"/>
      <c r="I112" s="506"/>
    </row>
    <row r="113" spans="3:9" ht="16.5" customHeight="1">
      <c r="C113" s="253"/>
      <c r="D113" s="253"/>
      <c r="E113" s="253"/>
      <c r="F113" s="253"/>
      <c r="G113" s="253"/>
      <c r="H113" s="253"/>
      <c r="I113" s="507"/>
    </row>
    <row r="114" spans="3:9" ht="16.5" customHeight="1" thickBot="1">
      <c r="C114" s="253"/>
      <c r="D114" s="253"/>
      <c r="E114" s="253"/>
      <c r="F114" s="253"/>
      <c r="G114" s="253"/>
      <c r="H114" s="253"/>
      <c r="I114" s="508"/>
    </row>
    <row r="115" spans="3:9" ht="16.5" customHeight="1" thickBot="1">
      <c r="C115" s="253"/>
      <c r="D115" s="253"/>
      <c r="E115" s="253"/>
      <c r="F115" s="253"/>
      <c r="G115" s="253"/>
      <c r="H115" s="253"/>
    </row>
    <row r="116" spans="3:9" ht="16.5" customHeight="1" thickBot="1">
      <c r="C116" s="253"/>
      <c r="D116" s="253"/>
      <c r="E116" s="253"/>
      <c r="F116" s="253"/>
      <c r="G116" s="253"/>
      <c r="H116" s="253"/>
      <c r="I116" s="574"/>
    </row>
    <row r="117" spans="3:9" ht="16.5" customHeight="1" thickBot="1">
      <c r="C117" s="253"/>
      <c r="D117" s="253"/>
      <c r="E117" s="253"/>
      <c r="F117" s="253"/>
      <c r="G117" s="253"/>
      <c r="H117" s="253"/>
      <c r="I117" s="504" t="s">
        <v>42</v>
      </c>
    </row>
    <row r="118" spans="3:9" ht="16.5" customHeight="1">
      <c r="C118" s="253"/>
      <c r="D118" s="253"/>
      <c r="E118" s="253"/>
      <c r="F118" s="253"/>
      <c r="G118" s="253"/>
      <c r="H118" s="253"/>
      <c r="I118" s="505"/>
    </row>
    <row r="119" spans="3:9" ht="16.5" customHeight="1">
      <c r="C119" s="253"/>
      <c r="D119" s="253"/>
      <c r="E119" s="253"/>
      <c r="F119" s="253"/>
      <c r="G119" s="253"/>
      <c r="H119" s="253"/>
      <c r="I119" s="506"/>
    </row>
    <row r="120" spans="3:9" ht="16.5" customHeight="1">
      <c r="C120" s="253"/>
      <c r="D120" s="253"/>
      <c r="E120" s="253"/>
      <c r="F120" s="253"/>
      <c r="G120" s="253"/>
      <c r="H120" s="253"/>
      <c r="I120" s="506"/>
    </row>
    <row r="121" spans="3:9" ht="16.5" customHeight="1">
      <c r="C121" s="253"/>
      <c r="D121" s="253"/>
      <c r="E121" s="253"/>
      <c r="F121" s="253"/>
      <c r="G121" s="253"/>
      <c r="H121" s="253"/>
      <c r="I121" s="506"/>
    </row>
    <row r="122" spans="3:9" ht="16.5" customHeight="1">
      <c r="C122" s="253"/>
      <c r="D122" s="253"/>
      <c r="E122" s="253"/>
      <c r="F122" s="253"/>
      <c r="G122" s="253"/>
      <c r="H122" s="253"/>
      <c r="I122" s="506"/>
    </row>
    <row r="123" spans="3:9" ht="16.5" customHeight="1">
      <c r="C123" s="253"/>
      <c r="D123" s="253"/>
      <c r="E123" s="253"/>
      <c r="F123" s="253"/>
      <c r="G123" s="253"/>
      <c r="H123" s="253"/>
      <c r="I123" s="507"/>
    </row>
    <row r="124" spans="3:9" ht="16.5" customHeight="1" thickBot="1">
      <c r="C124" s="253"/>
      <c r="D124" s="253"/>
      <c r="E124" s="253"/>
      <c r="F124" s="253"/>
      <c r="G124" s="253"/>
      <c r="H124" s="253"/>
      <c r="I124" s="508"/>
    </row>
    <row r="125" spans="3:9" ht="16.5" customHeight="1" thickBot="1">
      <c r="C125" s="253"/>
      <c r="D125" s="253"/>
      <c r="E125" s="253"/>
      <c r="F125" s="253"/>
      <c r="G125" s="253"/>
      <c r="H125" s="253"/>
    </row>
    <row r="126" spans="3:9" ht="16.5" customHeight="1" thickBot="1">
      <c r="C126" s="253"/>
      <c r="D126" s="253"/>
      <c r="E126" s="253"/>
      <c r="F126" s="253"/>
      <c r="G126" s="253"/>
      <c r="H126" s="253"/>
      <c r="I126" s="574"/>
    </row>
    <row r="127" spans="3:9" ht="16.5" customHeight="1" thickBot="1">
      <c r="C127" s="253"/>
      <c r="D127" s="253"/>
      <c r="E127" s="253"/>
      <c r="F127" s="253"/>
      <c r="G127" s="253"/>
      <c r="H127" s="253"/>
      <c r="I127" s="504" t="s">
        <v>42</v>
      </c>
    </row>
    <row r="128" spans="3:9" ht="16.5" customHeight="1">
      <c r="I128" s="505"/>
    </row>
    <row r="129" spans="9:9" ht="16.5" customHeight="1">
      <c r="I129" s="506"/>
    </row>
    <row r="130" spans="9:9" ht="16.5" customHeight="1">
      <c r="I130" s="506"/>
    </row>
    <row r="131" spans="9:9" ht="16.5" customHeight="1">
      <c r="I131" s="506"/>
    </row>
    <row r="132" spans="9:9" ht="16.5" customHeight="1">
      <c r="I132" s="506"/>
    </row>
    <row r="133" spans="9:9" ht="16.5" customHeight="1">
      <c r="I133" s="507"/>
    </row>
    <row r="134" spans="9:9" ht="16.5" customHeight="1" thickBot="1">
      <c r="I134" s="508"/>
    </row>
  </sheetData>
  <dataConsolidate/>
  <mergeCells count="33">
    <mergeCell ref="C88:H88"/>
    <mergeCell ref="C71:C72"/>
    <mergeCell ref="C90:C91"/>
    <mergeCell ref="C93:C94"/>
    <mergeCell ref="C68:C69"/>
    <mergeCell ref="C82:C83"/>
    <mergeCell ref="C77:H77"/>
    <mergeCell ref="C5:H5"/>
    <mergeCell ref="F6:F7"/>
    <mergeCell ref="C35:C36"/>
    <mergeCell ref="C38:C39"/>
    <mergeCell ref="C15:H15"/>
    <mergeCell ref="C24:C25"/>
    <mergeCell ref="C27:C28"/>
    <mergeCell ref="G6:G7"/>
    <mergeCell ref="H6:H7"/>
    <mergeCell ref="C16:C20"/>
    <mergeCell ref="C8:C9"/>
    <mergeCell ref="C6:C7"/>
    <mergeCell ref="D6:D7"/>
    <mergeCell ref="B22:B31"/>
    <mergeCell ref="B33:B42"/>
    <mergeCell ref="E6:E7"/>
    <mergeCell ref="C79:C80"/>
    <mergeCell ref="C46:C47"/>
    <mergeCell ref="C49:C50"/>
    <mergeCell ref="C57:C58"/>
    <mergeCell ref="C60:C61"/>
    <mergeCell ref="C66:H66"/>
    <mergeCell ref="C22:H22"/>
    <mergeCell ref="C33:H33"/>
    <mergeCell ref="C44:H44"/>
    <mergeCell ref="C55:H55"/>
  </mergeCells>
  <dataValidations count="2">
    <dataValidation showInputMessage="1" showErrorMessage="1" sqref="F17:F20"/>
    <dataValidation type="list" allowBlank="1" showInputMessage="1" showErrorMessage="1" sqref="C8:C9">
      <formula1>$M$18:$M$19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45"/>
  <sheetViews>
    <sheetView rightToLeft="1" zoomScaleNormal="100" workbookViewId="0">
      <selection activeCell="H20" sqref="H20"/>
    </sheetView>
  </sheetViews>
  <sheetFormatPr defaultColWidth="9" defaultRowHeight="13.8"/>
  <cols>
    <col min="1" max="1" width="9" style="326"/>
    <col min="2" max="2" width="11.09765625" style="270" bestFit="1" customWidth="1"/>
    <col min="3" max="3" width="43.69921875" style="326" bestFit="1" customWidth="1"/>
    <col min="4" max="4" width="11.19921875" style="206" customWidth="1"/>
    <col min="5" max="8" width="14.09765625" style="326" customWidth="1"/>
    <col min="9" max="9" width="23" style="326" customWidth="1"/>
    <col min="10" max="10" width="11.59765625" style="488" customWidth="1"/>
    <col min="11" max="11" width="10.69921875" style="265" customWidth="1"/>
    <col min="12" max="12" width="15.09765625" style="326" customWidth="1"/>
    <col min="13" max="13" width="18.09765625" style="326" customWidth="1"/>
    <col min="14" max="14" width="14.3984375" style="326" customWidth="1"/>
    <col min="15" max="15" width="16.19921875" style="326" customWidth="1"/>
    <col min="16" max="16" width="12.3984375" style="326" customWidth="1"/>
    <col min="17" max="17" width="11.3984375" style="326" customWidth="1"/>
    <col min="18" max="18" width="11.3984375" customWidth="1"/>
    <col min="19" max="20" width="11.3984375" style="326" customWidth="1"/>
    <col min="21" max="21" width="13.8984375" style="326" customWidth="1"/>
    <col min="22" max="16384" width="9" style="326"/>
  </cols>
  <sheetData>
    <row r="1" spans="2:21" ht="14.4" thickBot="1">
      <c r="R1" s="326"/>
    </row>
    <row r="2" spans="2:21" ht="14.4" thickBot="1">
      <c r="B2" s="404" t="s">
        <v>194</v>
      </c>
      <c r="C2" s="400"/>
      <c r="R2" s="326"/>
    </row>
    <row r="3" spans="2:21" ht="14.4" thickBot="1">
      <c r="B3" s="405" t="s">
        <v>197</v>
      </c>
      <c r="C3" s="401"/>
      <c r="R3" s="326"/>
    </row>
    <row r="4" spans="2:21" ht="14.4" thickBot="1">
      <c r="B4" s="404" t="s">
        <v>200</v>
      </c>
      <c r="C4" s="402"/>
      <c r="R4" s="326"/>
    </row>
    <row r="5" spans="2:21" ht="14.4" thickBot="1">
      <c r="B5" s="406" t="s">
        <v>203</v>
      </c>
      <c r="C5" s="403"/>
      <c r="R5" s="326"/>
    </row>
    <row r="6" spans="2:21">
      <c r="B6" s="820" t="s">
        <v>206</v>
      </c>
      <c r="C6" s="324"/>
      <c r="R6" s="326"/>
    </row>
    <row r="7" spans="2:21" ht="14.4" thickBot="1">
      <c r="B7" s="821"/>
      <c r="C7" s="325"/>
      <c r="R7" s="326"/>
    </row>
    <row r="8" spans="2:21" ht="14.4" thickBot="1">
      <c r="B8" s="407" t="s">
        <v>617</v>
      </c>
      <c r="C8" s="408"/>
      <c r="R8" s="326"/>
    </row>
    <row r="9" spans="2:21">
      <c r="K9" s="326"/>
      <c r="R9" s="326"/>
    </row>
    <row r="10" spans="2:21">
      <c r="K10" s="326"/>
      <c r="R10" s="326"/>
    </row>
    <row r="11" spans="2:21">
      <c r="B11" s="293" t="s">
        <v>561</v>
      </c>
      <c r="C11" s="294" t="s">
        <v>16</v>
      </c>
      <c r="D11" s="295" t="s">
        <v>182</v>
      </c>
      <c r="E11" s="294" t="s">
        <v>184</v>
      </c>
      <c r="F11" s="294" t="s">
        <v>923</v>
      </c>
      <c r="G11" s="294"/>
      <c r="H11" s="294"/>
      <c r="I11" s="294"/>
      <c r="J11" s="487"/>
      <c r="K11" s="326"/>
      <c r="R11" s="326"/>
    </row>
    <row r="12" spans="2:21">
      <c r="B12" s="667">
        <v>3</v>
      </c>
      <c r="C12" s="668" t="s">
        <v>2</v>
      </c>
      <c r="D12" s="669" t="s">
        <v>8</v>
      </c>
      <c r="E12" s="671"/>
      <c r="F12" s="670"/>
      <c r="G12" s="604"/>
      <c r="H12" s="605"/>
      <c r="I12" s="605"/>
      <c r="J12" s="489"/>
      <c r="K12" s="326"/>
      <c r="P12" s="327"/>
      <c r="Q12" s="327"/>
      <c r="R12" s="327"/>
      <c r="S12" s="327"/>
      <c r="T12" s="327"/>
      <c r="U12" s="327"/>
    </row>
    <row r="13" spans="2:21">
      <c r="B13" s="667">
        <v>13</v>
      </c>
      <c r="C13" s="668" t="s">
        <v>1129</v>
      </c>
      <c r="D13" s="669" t="s">
        <v>602</v>
      </c>
      <c r="E13" s="671"/>
      <c r="F13" s="670"/>
      <c r="G13" s="604"/>
      <c r="H13" s="605"/>
      <c r="I13" s="605"/>
      <c r="J13" s="489"/>
      <c r="K13" s="326"/>
      <c r="P13" s="327"/>
      <c r="Q13" s="327"/>
      <c r="R13" s="327"/>
      <c r="S13" s="327"/>
      <c r="T13" s="327"/>
      <c r="U13" s="327"/>
    </row>
    <row r="14" spans="2:21">
      <c r="B14" s="667">
        <v>46</v>
      </c>
      <c r="C14" s="668" t="s">
        <v>1147</v>
      </c>
      <c r="D14" s="669" t="s">
        <v>602</v>
      </c>
      <c r="E14" s="669"/>
      <c r="F14" s="670"/>
      <c r="G14" s="604"/>
      <c r="H14" s="605"/>
      <c r="I14" s="605"/>
      <c r="J14" s="489"/>
      <c r="K14" s="326"/>
      <c r="P14" s="327"/>
      <c r="Q14" s="327"/>
      <c r="R14" s="327"/>
      <c r="S14" s="327"/>
      <c r="T14" s="327"/>
      <c r="U14" s="327"/>
    </row>
    <row r="15" spans="2:21">
      <c r="B15" s="667">
        <v>73</v>
      </c>
      <c r="C15" s="668" t="s">
        <v>362</v>
      </c>
      <c r="D15" s="669" t="s">
        <v>8</v>
      </c>
      <c r="E15" s="669"/>
      <c r="F15" s="670"/>
      <c r="G15" s="604"/>
      <c r="H15" s="605"/>
      <c r="I15" s="605"/>
      <c r="J15" s="489"/>
      <c r="K15" s="326"/>
      <c r="P15" s="327"/>
      <c r="Q15" s="327"/>
      <c r="R15" s="327"/>
      <c r="S15" s="327"/>
      <c r="T15" s="327"/>
      <c r="U15" s="327"/>
    </row>
    <row r="16" spans="2:21">
      <c r="B16" s="667">
        <v>77</v>
      </c>
      <c r="C16" s="668" t="s">
        <v>1163</v>
      </c>
      <c r="D16" s="669" t="s">
        <v>602</v>
      </c>
      <c r="E16" s="671"/>
      <c r="F16" s="670"/>
      <c r="G16" s="604"/>
      <c r="H16" s="605"/>
      <c r="I16" s="605"/>
      <c r="J16" s="489"/>
      <c r="K16" s="326"/>
      <c r="P16" s="327"/>
      <c r="Q16" s="327"/>
      <c r="R16" s="327"/>
      <c r="S16" s="327"/>
      <c r="T16" s="327"/>
      <c r="U16" s="327"/>
    </row>
    <row r="17" spans="2:21">
      <c r="B17" s="667">
        <v>78</v>
      </c>
      <c r="C17" s="668" t="s">
        <v>932</v>
      </c>
      <c r="D17" s="669" t="s">
        <v>602</v>
      </c>
      <c r="E17" s="671"/>
      <c r="F17" s="670"/>
      <c r="G17" s="604"/>
      <c r="H17" s="605"/>
      <c r="I17" s="605"/>
      <c r="J17" s="489"/>
      <c r="K17" s="326"/>
      <c r="P17" s="327"/>
      <c r="Q17" s="327"/>
      <c r="R17" s="327"/>
      <c r="S17" s="327"/>
      <c r="T17" s="327"/>
      <c r="U17" s="327"/>
    </row>
    <row r="18" spans="2:21">
      <c r="B18" s="667">
        <v>81</v>
      </c>
      <c r="C18" s="668" t="s">
        <v>364</v>
      </c>
      <c r="D18" s="669" t="s">
        <v>8</v>
      </c>
      <c r="E18" s="669"/>
      <c r="F18" s="670"/>
      <c r="G18" s="604"/>
      <c r="H18" s="605"/>
      <c r="I18" s="605"/>
      <c r="J18" s="489"/>
      <c r="K18" s="326"/>
      <c r="P18" s="327"/>
      <c r="Q18" s="327"/>
      <c r="R18" s="327"/>
      <c r="S18" s="327"/>
      <c r="T18" s="327"/>
      <c r="U18" s="327"/>
    </row>
    <row r="19" spans="2:21">
      <c r="B19" s="667">
        <v>142</v>
      </c>
      <c r="C19" s="668" t="s">
        <v>366</v>
      </c>
      <c r="D19" s="669" t="s">
        <v>602</v>
      </c>
      <c r="E19" s="671"/>
      <c r="F19" s="670"/>
      <c r="G19" s="604"/>
      <c r="H19" s="605"/>
      <c r="I19" s="605"/>
      <c r="J19" s="490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</row>
    <row r="20" spans="2:21">
      <c r="B20" s="667">
        <v>143</v>
      </c>
      <c r="C20" s="668" t="s">
        <v>367</v>
      </c>
      <c r="D20" s="669" t="s">
        <v>8</v>
      </c>
      <c r="E20" s="671"/>
      <c r="F20" s="670"/>
      <c r="G20" s="604"/>
      <c r="H20" s="605"/>
      <c r="I20" s="605"/>
      <c r="J20" s="489"/>
      <c r="K20" s="326"/>
      <c r="P20" s="327"/>
      <c r="Q20" s="327"/>
      <c r="R20" s="327"/>
      <c r="S20" s="327"/>
      <c r="T20" s="327"/>
      <c r="U20" s="327"/>
    </row>
    <row r="21" spans="2:21">
      <c r="B21" s="667">
        <v>156</v>
      </c>
      <c r="C21" s="668" t="s">
        <v>368</v>
      </c>
      <c r="D21" s="669" t="s">
        <v>8</v>
      </c>
      <c r="E21" s="671"/>
      <c r="F21" s="670"/>
      <c r="G21" s="604"/>
      <c r="H21" s="605"/>
      <c r="I21" s="605"/>
      <c r="J21" s="489"/>
      <c r="K21" s="326"/>
      <c r="P21" s="327"/>
      <c r="Q21" s="327"/>
      <c r="R21" s="327"/>
      <c r="S21" s="327"/>
      <c r="T21" s="327"/>
      <c r="U21" s="327"/>
    </row>
    <row r="22" spans="2:21">
      <c r="B22" s="667">
        <v>157</v>
      </c>
      <c r="C22" s="668" t="s">
        <v>369</v>
      </c>
      <c r="D22" s="669" t="s">
        <v>8</v>
      </c>
      <c r="E22" s="671"/>
      <c r="F22" s="670"/>
      <c r="G22" s="604"/>
      <c r="H22" s="605"/>
      <c r="I22" s="605"/>
      <c r="J22" s="489"/>
      <c r="K22" s="326"/>
      <c r="P22" s="327"/>
      <c r="Q22" s="327"/>
      <c r="R22" s="327"/>
      <c r="S22" s="327"/>
      <c r="T22" s="327"/>
      <c r="U22" s="327"/>
    </row>
    <row r="23" spans="2:21">
      <c r="B23" s="667">
        <v>159</v>
      </c>
      <c r="C23" s="668" t="s">
        <v>370</v>
      </c>
      <c r="D23" s="669" t="s">
        <v>8</v>
      </c>
      <c r="E23" s="669"/>
      <c r="F23" s="670"/>
      <c r="G23" s="604"/>
      <c r="H23" s="605"/>
      <c r="I23" s="605"/>
      <c r="J23" s="489"/>
      <c r="K23" s="326"/>
      <c r="P23" s="327"/>
      <c r="Q23" s="327"/>
      <c r="R23" s="327"/>
      <c r="S23" s="327"/>
      <c r="T23" s="327"/>
      <c r="U23" s="327"/>
    </row>
    <row r="24" spans="2:21">
      <c r="B24" s="667">
        <v>185</v>
      </c>
      <c r="C24" s="668" t="s">
        <v>371</v>
      </c>
      <c r="D24" s="669" t="s">
        <v>8</v>
      </c>
      <c r="E24" s="669"/>
      <c r="F24" s="670"/>
      <c r="G24" s="604"/>
      <c r="H24" s="605"/>
      <c r="I24" s="605"/>
      <c r="J24" s="489"/>
      <c r="K24" s="326"/>
      <c r="P24" s="327"/>
      <c r="Q24" s="327"/>
      <c r="R24" s="327"/>
      <c r="S24" s="327"/>
      <c r="T24" s="327"/>
      <c r="U24" s="327"/>
    </row>
    <row r="25" spans="2:21">
      <c r="B25" s="667">
        <v>235</v>
      </c>
      <c r="C25" s="668" t="s">
        <v>562</v>
      </c>
      <c r="D25" s="669" t="s">
        <v>8</v>
      </c>
      <c r="E25" s="669"/>
      <c r="F25" s="670"/>
      <c r="G25" s="604"/>
      <c r="H25" s="605"/>
      <c r="I25" s="605"/>
      <c r="J25" s="489"/>
      <c r="K25" s="326"/>
      <c r="P25" s="327"/>
      <c r="Q25" s="327"/>
      <c r="R25" s="327"/>
      <c r="S25" s="327"/>
      <c r="T25" s="327"/>
      <c r="U25" s="327"/>
    </row>
    <row r="26" spans="2:21">
      <c r="B26" s="667">
        <v>248</v>
      </c>
      <c r="C26" s="668" t="s">
        <v>1142</v>
      </c>
      <c r="D26" s="669" t="s">
        <v>602</v>
      </c>
      <c r="E26" s="671"/>
      <c r="F26" s="670"/>
      <c r="G26" s="604"/>
      <c r="H26" s="605"/>
      <c r="I26" s="605"/>
      <c r="J26" s="489"/>
      <c r="K26" s="326"/>
      <c r="P26" s="327"/>
      <c r="Q26" s="327"/>
      <c r="R26" s="327"/>
      <c r="S26" s="327"/>
      <c r="T26" s="327"/>
      <c r="U26" s="327"/>
    </row>
    <row r="27" spans="2:21">
      <c r="B27" s="667">
        <v>267</v>
      </c>
      <c r="C27" s="668" t="s">
        <v>563</v>
      </c>
      <c r="D27" s="669" t="s">
        <v>602</v>
      </c>
      <c r="E27" s="671"/>
      <c r="F27" s="670"/>
      <c r="G27" s="604"/>
      <c r="H27" s="605"/>
      <c r="I27" s="605"/>
      <c r="J27" s="489"/>
      <c r="K27" s="326"/>
      <c r="P27" s="327"/>
      <c r="Q27" s="327"/>
      <c r="R27" s="327"/>
      <c r="S27" s="327"/>
      <c r="T27" s="327"/>
      <c r="U27" s="327"/>
    </row>
    <row r="28" spans="2:21">
      <c r="B28" s="667">
        <v>309</v>
      </c>
      <c r="C28" s="668" t="s">
        <v>372</v>
      </c>
      <c r="D28" s="669" t="s">
        <v>8</v>
      </c>
      <c r="E28" s="669"/>
      <c r="F28" s="670"/>
      <c r="G28" s="604"/>
      <c r="H28" s="605"/>
      <c r="I28" s="605"/>
      <c r="J28" s="489"/>
      <c r="K28" s="326"/>
      <c r="P28" s="327"/>
      <c r="Q28" s="327"/>
      <c r="R28" s="327"/>
      <c r="S28" s="327"/>
      <c r="T28" s="327"/>
      <c r="U28" s="327"/>
    </row>
    <row r="29" spans="2:21">
      <c r="B29" s="667">
        <v>310</v>
      </c>
      <c r="C29" s="668" t="s">
        <v>373</v>
      </c>
      <c r="D29" s="669" t="s">
        <v>8</v>
      </c>
      <c r="E29" s="671"/>
      <c r="F29" s="670"/>
      <c r="G29" s="604"/>
      <c r="H29" s="605"/>
      <c r="I29" s="605"/>
      <c r="J29" s="489"/>
      <c r="K29" s="326"/>
      <c r="P29" s="327"/>
      <c r="Q29" s="327"/>
      <c r="R29" s="327"/>
      <c r="S29" s="327"/>
      <c r="T29" s="327"/>
      <c r="U29" s="327"/>
    </row>
    <row r="30" spans="2:21">
      <c r="B30" s="667">
        <v>355</v>
      </c>
      <c r="C30" s="668" t="s">
        <v>1126</v>
      </c>
      <c r="D30" s="669" t="s">
        <v>602</v>
      </c>
      <c r="E30" s="671"/>
      <c r="F30" s="670"/>
      <c r="G30" s="604"/>
      <c r="H30" s="605"/>
      <c r="I30" s="605"/>
      <c r="J30" s="489"/>
      <c r="K30" s="326"/>
      <c r="P30" s="327"/>
      <c r="Q30" s="327"/>
      <c r="R30" s="327"/>
      <c r="S30" s="327"/>
      <c r="T30" s="327"/>
      <c r="U30" s="327"/>
    </row>
    <row r="31" spans="2:21">
      <c r="B31" s="667">
        <v>360</v>
      </c>
      <c r="C31" s="668" t="s">
        <v>935</v>
      </c>
      <c r="D31" s="669" t="s">
        <v>602</v>
      </c>
      <c r="E31" s="671"/>
      <c r="F31" s="670"/>
      <c r="G31" s="604"/>
      <c r="H31" s="605"/>
      <c r="I31" s="605"/>
      <c r="J31" s="489"/>
      <c r="K31" s="326"/>
      <c r="P31" s="327"/>
      <c r="Q31" s="327"/>
      <c r="R31" s="327"/>
      <c r="S31" s="327"/>
      <c r="T31" s="327"/>
      <c r="U31" s="327"/>
    </row>
    <row r="32" spans="2:21">
      <c r="B32" s="667">
        <v>364</v>
      </c>
      <c r="C32" s="668" t="s">
        <v>375</v>
      </c>
      <c r="D32" s="669" t="s">
        <v>8</v>
      </c>
      <c r="E32" s="669"/>
      <c r="F32" s="670"/>
      <c r="G32" s="604"/>
      <c r="H32" s="605"/>
      <c r="I32" s="605"/>
      <c r="J32" s="489"/>
      <c r="K32" s="326"/>
      <c r="P32" s="327"/>
      <c r="Q32" s="327"/>
      <c r="R32" s="327"/>
      <c r="S32" s="327"/>
      <c r="T32" s="327"/>
      <c r="U32" s="327"/>
    </row>
    <row r="33" spans="2:21">
      <c r="B33" s="667">
        <v>371</v>
      </c>
      <c r="C33" s="668" t="s">
        <v>376</v>
      </c>
      <c r="D33" s="669" t="s">
        <v>8</v>
      </c>
      <c r="E33" s="671"/>
      <c r="F33" s="670"/>
      <c r="G33" s="604"/>
      <c r="H33" s="605"/>
      <c r="I33" s="605"/>
      <c r="J33" s="489"/>
      <c r="K33" s="326"/>
      <c r="P33" s="327"/>
      <c r="Q33" s="327"/>
      <c r="R33" s="327"/>
      <c r="S33" s="327"/>
      <c r="T33" s="327"/>
      <c r="U33" s="327"/>
    </row>
    <row r="34" spans="2:21">
      <c r="B34" s="667">
        <v>397</v>
      </c>
      <c r="C34" s="668" t="s">
        <v>377</v>
      </c>
      <c r="D34" s="669" t="s">
        <v>8</v>
      </c>
      <c r="E34" s="669"/>
      <c r="F34" s="670"/>
      <c r="G34" s="604"/>
      <c r="H34" s="605"/>
      <c r="I34" s="605"/>
      <c r="J34" s="489"/>
      <c r="K34" s="326"/>
      <c r="P34" s="327"/>
      <c r="Q34" s="327"/>
      <c r="R34" s="327"/>
      <c r="S34" s="327"/>
      <c r="T34" s="327"/>
      <c r="U34" s="327"/>
    </row>
    <row r="35" spans="2:21">
      <c r="B35" s="667">
        <v>437</v>
      </c>
      <c r="C35" s="668" t="s">
        <v>378</v>
      </c>
      <c r="D35" s="669" t="s">
        <v>8</v>
      </c>
      <c r="E35" s="669"/>
      <c r="F35" s="670"/>
      <c r="G35" s="604"/>
      <c r="H35" s="605"/>
      <c r="I35" s="605"/>
      <c r="J35" s="489"/>
      <c r="K35" s="326"/>
      <c r="P35" s="327"/>
      <c r="Q35" s="327"/>
      <c r="R35" s="327"/>
      <c r="S35" s="327"/>
      <c r="T35" s="327"/>
      <c r="U35" s="327"/>
    </row>
    <row r="36" spans="2:21">
      <c r="B36" s="667">
        <v>496</v>
      </c>
      <c r="C36" s="668" t="s">
        <v>379</v>
      </c>
      <c r="D36" s="669" t="s">
        <v>602</v>
      </c>
      <c r="E36" s="669"/>
      <c r="F36" s="670"/>
      <c r="G36" s="604"/>
      <c r="H36" s="605"/>
      <c r="I36" s="605"/>
      <c r="J36" s="489"/>
      <c r="K36" s="326"/>
      <c r="P36" s="327"/>
      <c r="Q36" s="327"/>
      <c r="R36" s="327"/>
      <c r="S36" s="327"/>
      <c r="T36" s="327"/>
      <c r="U36" s="327"/>
    </row>
    <row r="37" spans="2:21">
      <c r="B37" s="667">
        <v>522</v>
      </c>
      <c r="C37" s="668" t="s">
        <v>1054</v>
      </c>
      <c r="D37" s="669"/>
      <c r="E37" s="671"/>
      <c r="F37" s="670"/>
      <c r="G37" s="604"/>
      <c r="H37" s="605"/>
      <c r="I37" s="605"/>
      <c r="J37" s="489"/>
      <c r="K37" s="326"/>
      <c r="P37" s="327"/>
      <c r="Q37" s="327"/>
      <c r="R37" s="327"/>
      <c r="S37" s="327"/>
      <c r="T37" s="327"/>
      <c r="U37" s="327"/>
    </row>
    <row r="38" spans="2:21">
      <c r="B38" s="667">
        <v>599</v>
      </c>
      <c r="C38" s="668" t="s">
        <v>381</v>
      </c>
      <c r="D38" s="669" t="s">
        <v>602</v>
      </c>
      <c r="E38" s="669"/>
      <c r="F38" s="670"/>
      <c r="G38" s="604"/>
      <c r="H38" s="605"/>
      <c r="I38" s="605"/>
      <c r="J38" s="489"/>
      <c r="K38" s="326"/>
      <c r="P38" s="327"/>
      <c r="Q38" s="327"/>
      <c r="R38" s="327"/>
      <c r="S38" s="327"/>
      <c r="T38" s="327"/>
      <c r="U38" s="327"/>
    </row>
    <row r="39" spans="2:21">
      <c r="B39" s="667">
        <v>607</v>
      </c>
      <c r="C39" s="668" t="s">
        <v>3</v>
      </c>
      <c r="D39" s="669" t="s">
        <v>8</v>
      </c>
      <c r="E39" s="669"/>
      <c r="F39" s="670"/>
      <c r="G39" s="604"/>
      <c r="H39" s="605"/>
      <c r="I39" s="605"/>
      <c r="J39" s="489"/>
      <c r="K39" s="326"/>
      <c r="P39" s="327"/>
      <c r="Q39" s="327"/>
      <c r="R39" s="327"/>
      <c r="S39" s="327"/>
      <c r="T39" s="327"/>
      <c r="U39" s="327"/>
    </row>
    <row r="40" spans="2:21">
      <c r="B40" s="667">
        <v>627</v>
      </c>
      <c r="C40" s="668" t="s">
        <v>390</v>
      </c>
      <c r="D40" s="669" t="s">
        <v>8</v>
      </c>
      <c r="E40" s="669"/>
      <c r="F40" s="670"/>
      <c r="G40" s="604"/>
      <c r="H40" s="605"/>
      <c r="I40" s="605"/>
      <c r="J40" s="489"/>
      <c r="K40" s="326"/>
      <c r="P40" s="327"/>
      <c r="Q40" s="327"/>
      <c r="R40" s="327"/>
      <c r="S40" s="327"/>
      <c r="T40" s="327"/>
      <c r="U40" s="327"/>
    </row>
    <row r="41" spans="2:21">
      <c r="B41" s="667">
        <v>660</v>
      </c>
      <c r="C41" s="668" t="s">
        <v>385</v>
      </c>
      <c r="D41" s="669" t="s">
        <v>602</v>
      </c>
      <c r="E41" s="669"/>
      <c r="F41" s="670"/>
      <c r="G41" s="604"/>
      <c r="H41" s="605"/>
      <c r="I41" s="605"/>
      <c r="J41" s="489"/>
      <c r="K41" s="326"/>
      <c r="P41" s="327"/>
      <c r="Q41" s="327"/>
      <c r="R41" s="327"/>
      <c r="S41" s="327"/>
      <c r="T41" s="327"/>
      <c r="U41" s="327"/>
    </row>
    <row r="42" spans="2:21">
      <c r="B42" s="667">
        <v>666</v>
      </c>
      <c r="C42" s="668" t="s">
        <v>386</v>
      </c>
      <c r="D42" s="669" t="s">
        <v>8</v>
      </c>
      <c r="E42" s="671"/>
      <c r="F42" s="670"/>
      <c r="G42" s="604"/>
      <c r="H42" s="605"/>
      <c r="I42" s="605"/>
      <c r="J42" s="489"/>
      <c r="K42" s="326"/>
      <c r="P42" s="327"/>
      <c r="Q42" s="327"/>
      <c r="R42" s="327"/>
      <c r="S42" s="327"/>
      <c r="T42" s="327"/>
      <c r="U42" s="327"/>
    </row>
    <row r="43" spans="2:21">
      <c r="B43" s="667">
        <v>675</v>
      </c>
      <c r="C43" s="668" t="s">
        <v>69</v>
      </c>
      <c r="D43" s="669" t="s">
        <v>8</v>
      </c>
      <c r="E43" s="669"/>
      <c r="F43" s="670"/>
      <c r="G43" s="604"/>
      <c r="H43" s="605"/>
      <c r="I43" s="605"/>
      <c r="J43" s="489"/>
      <c r="K43" s="326"/>
      <c r="P43" s="327"/>
      <c r="Q43" s="327"/>
      <c r="R43" s="327"/>
      <c r="S43" s="327"/>
      <c r="T43" s="327"/>
      <c r="U43" s="327"/>
    </row>
    <row r="44" spans="2:21">
      <c r="B44" s="667">
        <v>688</v>
      </c>
      <c r="C44" s="668" t="s">
        <v>564</v>
      </c>
      <c r="D44" s="669" t="s">
        <v>602</v>
      </c>
      <c r="E44" s="671"/>
      <c r="F44" s="670"/>
      <c r="G44" s="604"/>
      <c r="H44" s="605"/>
      <c r="I44" s="605"/>
      <c r="J44" s="489"/>
      <c r="K44" s="326"/>
      <c r="P44" s="327"/>
      <c r="Q44" s="327"/>
      <c r="R44" s="327"/>
      <c r="S44" s="327"/>
      <c r="T44" s="327"/>
      <c r="U44" s="327"/>
    </row>
    <row r="45" spans="2:21">
      <c r="B45" s="667">
        <v>694</v>
      </c>
      <c r="C45" s="668" t="s">
        <v>565</v>
      </c>
      <c r="D45" s="669" t="s">
        <v>602</v>
      </c>
      <c r="E45" s="669"/>
      <c r="F45" s="670"/>
      <c r="G45" s="604"/>
      <c r="H45" s="605"/>
      <c r="I45" s="605"/>
      <c r="J45" s="489"/>
      <c r="K45" s="326"/>
      <c r="P45" s="327"/>
      <c r="Q45" s="327"/>
      <c r="R45" s="327"/>
      <c r="S45" s="327"/>
      <c r="T45" s="327"/>
      <c r="U45" s="327"/>
    </row>
    <row r="46" spans="2:21">
      <c r="B46" s="667">
        <v>761</v>
      </c>
      <c r="C46" s="668" t="s">
        <v>1052</v>
      </c>
      <c r="D46" s="669" t="s">
        <v>602</v>
      </c>
      <c r="E46" s="671"/>
      <c r="F46" s="670"/>
      <c r="G46" s="604"/>
      <c r="H46" s="605"/>
      <c r="I46" s="605"/>
      <c r="J46" s="489"/>
      <c r="K46" s="326"/>
      <c r="P46" s="327"/>
      <c r="Q46" s="327"/>
      <c r="R46" s="327"/>
      <c r="S46" s="327"/>
      <c r="T46" s="327"/>
      <c r="U46" s="327"/>
    </row>
    <row r="47" spans="2:21">
      <c r="B47" s="667">
        <v>770</v>
      </c>
      <c r="C47" s="668" t="s">
        <v>391</v>
      </c>
      <c r="D47" s="669" t="s">
        <v>8</v>
      </c>
      <c r="E47" s="671"/>
      <c r="F47" s="670"/>
      <c r="G47" s="604"/>
      <c r="H47" s="605"/>
      <c r="I47" s="605"/>
      <c r="J47" s="489"/>
      <c r="K47" s="326"/>
      <c r="P47" s="327"/>
      <c r="Q47" s="327"/>
      <c r="R47" s="327"/>
      <c r="S47" s="327"/>
      <c r="T47" s="327"/>
      <c r="U47" s="327"/>
    </row>
    <row r="48" spans="2:21">
      <c r="B48" s="667">
        <v>784</v>
      </c>
      <c r="C48" s="668" t="s">
        <v>946</v>
      </c>
      <c r="D48" s="669" t="s">
        <v>602</v>
      </c>
      <c r="E48" s="669"/>
      <c r="F48" s="670"/>
      <c r="G48" s="604"/>
      <c r="H48" s="605"/>
      <c r="I48" s="605"/>
      <c r="J48" s="489"/>
      <c r="K48" s="326"/>
      <c r="P48" s="327"/>
      <c r="Q48" s="327"/>
      <c r="R48" s="327"/>
      <c r="S48" s="327"/>
      <c r="T48" s="327"/>
      <c r="U48" s="327"/>
    </row>
    <row r="49" spans="2:21">
      <c r="B49" s="667">
        <v>811</v>
      </c>
      <c r="C49" s="668" t="s">
        <v>1044</v>
      </c>
      <c r="D49" s="669" t="s">
        <v>602</v>
      </c>
      <c r="E49" s="669"/>
      <c r="F49" s="670"/>
      <c r="G49" s="604"/>
      <c r="H49" s="605"/>
      <c r="I49" s="605"/>
      <c r="J49" s="489"/>
      <c r="K49" s="326"/>
      <c r="P49" s="327"/>
      <c r="Q49" s="327"/>
      <c r="R49" s="327"/>
      <c r="S49" s="327"/>
      <c r="T49" s="327"/>
      <c r="U49" s="327"/>
    </row>
    <row r="50" spans="2:21">
      <c r="B50" s="667">
        <v>863</v>
      </c>
      <c r="C50" s="668" t="s">
        <v>392</v>
      </c>
      <c r="D50" s="669" t="s">
        <v>8</v>
      </c>
      <c r="E50" s="669"/>
      <c r="F50" s="670"/>
      <c r="G50" s="604"/>
      <c r="H50" s="605"/>
      <c r="I50" s="605"/>
      <c r="J50" s="489"/>
      <c r="K50" s="326"/>
      <c r="P50" s="327"/>
      <c r="Q50" s="327"/>
      <c r="R50" s="327"/>
      <c r="S50" s="327"/>
      <c r="T50" s="327"/>
      <c r="U50" s="327"/>
    </row>
    <row r="51" spans="2:21">
      <c r="B51" s="667">
        <v>957</v>
      </c>
      <c r="C51" s="668" t="s">
        <v>395</v>
      </c>
      <c r="D51" s="669" t="s">
        <v>8</v>
      </c>
      <c r="E51" s="669"/>
      <c r="F51" s="670"/>
      <c r="G51" s="604"/>
      <c r="H51" s="605"/>
      <c r="I51" s="605"/>
      <c r="J51" s="489"/>
      <c r="K51" s="326"/>
      <c r="P51" s="327"/>
      <c r="Q51" s="327"/>
      <c r="R51" s="327"/>
      <c r="S51" s="327"/>
      <c r="T51" s="327"/>
      <c r="U51" s="327"/>
    </row>
    <row r="52" spans="2:21">
      <c r="B52" s="667">
        <v>965</v>
      </c>
      <c r="C52" s="668" t="s">
        <v>1016</v>
      </c>
      <c r="D52" s="669" t="s">
        <v>8</v>
      </c>
      <c r="E52" s="671"/>
      <c r="F52" s="670"/>
      <c r="G52" s="604"/>
      <c r="H52" s="605"/>
      <c r="I52" s="605"/>
      <c r="J52" s="489"/>
      <c r="K52" s="326"/>
      <c r="P52" s="327"/>
      <c r="Q52" s="327"/>
      <c r="R52" s="327"/>
      <c r="S52" s="327"/>
      <c r="T52" s="327"/>
      <c r="U52" s="327"/>
    </row>
    <row r="53" spans="2:21">
      <c r="B53" s="667">
        <v>973</v>
      </c>
      <c r="C53" s="668" t="s">
        <v>397</v>
      </c>
      <c r="D53" s="669" t="s">
        <v>8</v>
      </c>
      <c r="E53" s="671"/>
      <c r="F53" s="670"/>
      <c r="G53" s="604"/>
      <c r="H53" s="605"/>
      <c r="I53" s="605"/>
      <c r="J53" s="489"/>
      <c r="K53" s="326"/>
      <c r="P53" s="327"/>
      <c r="Q53" s="327"/>
      <c r="R53" s="327"/>
      <c r="S53" s="327"/>
      <c r="T53" s="327"/>
      <c r="U53" s="327"/>
    </row>
    <row r="54" spans="2:21">
      <c r="B54" s="667">
        <v>1014</v>
      </c>
      <c r="C54" s="668" t="s">
        <v>1138</v>
      </c>
      <c r="D54" s="669" t="s">
        <v>602</v>
      </c>
      <c r="E54" s="669"/>
      <c r="F54" s="670"/>
      <c r="G54" s="604"/>
      <c r="H54" s="605"/>
      <c r="I54" s="605"/>
      <c r="J54" s="489"/>
      <c r="K54" s="326"/>
      <c r="P54" s="327"/>
      <c r="Q54" s="327"/>
      <c r="R54" s="327"/>
      <c r="S54" s="327"/>
      <c r="T54" s="327"/>
      <c r="U54" s="327"/>
    </row>
    <row r="55" spans="2:21">
      <c r="B55" s="667">
        <v>1238</v>
      </c>
      <c r="C55" s="668" t="s">
        <v>947</v>
      </c>
      <c r="D55" s="669" t="s">
        <v>602</v>
      </c>
      <c r="E55" s="671"/>
      <c r="F55" s="670"/>
      <c r="G55" s="604"/>
      <c r="H55" s="605"/>
      <c r="I55" s="605"/>
      <c r="J55" s="489"/>
      <c r="K55" s="326"/>
      <c r="P55" s="327"/>
      <c r="Q55" s="327"/>
      <c r="R55" s="327"/>
      <c r="S55" s="327"/>
      <c r="T55" s="327"/>
      <c r="U55" s="327"/>
    </row>
    <row r="56" spans="2:21">
      <c r="B56" s="667">
        <v>1304</v>
      </c>
      <c r="C56" s="668" t="s">
        <v>1017</v>
      </c>
      <c r="D56" s="669" t="s">
        <v>8</v>
      </c>
      <c r="E56" s="671"/>
      <c r="F56" s="670"/>
      <c r="G56" s="604"/>
      <c r="H56" s="605"/>
      <c r="I56" s="605"/>
      <c r="J56" s="489"/>
      <c r="K56" s="326"/>
      <c r="P56" s="327"/>
      <c r="Q56" s="327"/>
      <c r="R56" s="327"/>
      <c r="S56" s="327"/>
      <c r="T56" s="327"/>
      <c r="U56" s="327"/>
    </row>
    <row r="57" spans="2:21">
      <c r="B57" s="667">
        <v>1455</v>
      </c>
      <c r="C57" s="668" t="s">
        <v>1121</v>
      </c>
      <c r="D57" s="669" t="s">
        <v>602</v>
      </c>
      <c r="E57" s="669"/>
      <c r="F57" s="670"/>
      <c r="G57" s="604"/>
      <c r="H57" s="605"/>
      <c r="I57" s="605"/>
      <c r="J57" s="489"/>
      <c r="K57" s="326"/>
      <c r="P57" s="327"/>
      <c r="Q57" s="327"/>
      <c r="R57" s="327"/>
      <c r="S57" s="327"/>
      <c r="T57" s="327"/>
      <c r="U57" s="327"/>
    </row>
    <row r="58" spans="2:21">
      <c r="B58" s="667">
        <v>1486</v>
      </c>
      <c r="C58" s="668" t="s">
        <v>1035</v>
      </c>
      <c r="D58" s="669" t="s">
        <v>240</v>
      </c>
      <c r="E58" s="669"/>
      <c r="F58" s="670"/>
      <c r="G58" s="604"/>
      <c r="H58" s="605"/>
      <c r="I58" s="605"/>
      <c r="J58" s="489"/>
      <c r="K58" s="326"/>
      <c r="P58" s="327"/>
      <c r="Q58" s="327"/>
      <c r="R58" s="327"/>
      <c r="S58" s="327"/>
      <c r="T58" s="327"/>
      <c r="U58" s="327"/>
    </row>
    <row r="59" spans="2:21">
      <c r="B59" s="667">
        <v>1776</v>
      </c>
      <c r="C59" s="668" t="s">
        <v>1043</v>
      </c>
      <c r="D59" s="669" t="s">
        <v>602</v>
      </c>
      <c r="E59" s="671"/>
      <c r="F59" s="670"/>
      <c r="G59" s="604"/>
      <c r="H59" s="605"/>
      <c r="I59" s="605"/>
      <c r="J59" s="489"/>
      <c r="K59" s="326"/>
      <c r="P59" s="327"/>
      <c r="Q59" s="327"/>
      <c r="R59" s="327"/>
      <c r="S59" s="327"/>
      <c r="T59" s="327"/>
      <c r="U59" s="327"/>
    </row>
    <row r="60" spans="2:21">
      <c r="B60" s="667">
        <v>1824</v>
      </c>
      <c r="C60" s="668" t="s">
        <v>1057</v>
      </c>
      <c r="D60" s="669" t="s">
        <v>602</v>
      </c>
      <c r="E60" s="669"/>
      <c r="F60" s="670"/>
      <c r="G60" s="604"/>
      <c r="H60" s="605"/>
      <c r="I60" s="605"/>
      <c r="J60" s="489"/>
      <c r="K60" s="326"/>
      <c r="P60" s="327"/>
      <c r="Q60" s="327"/>
      <c r="R60" s="327"/>
      <c r="S60" s="327"/>
      <c r="T60" s="327"/>
      <c r="U60" s="327"/>
    </row>
    <row r="61" spans="2:21">
      <c r="B61" s="667">
        <v>1910</v>
      </c>
      <c r="C61" s="668" t="s">
        <v>1154</v>
      </c>
      <c r="D61" s="669" t="s">
        <v>602</v>
      </c>
      <c r="E61" s="669"/>
      <c r="F61" s="670"/>
      <c r="G61" s="604"/>
      <c r="H61" s="605"/>
      <c r="I61" s="605"/>
      <c r="J61" s="489"/>
      <c r="K61" s="326"/>
      <c r="P61" s="327"/>
      <c r="Q61" s="327"/>
      <c r="R61" s="327"/>
      <c r="S61" s="327"/>
      <c r="T61" s="327"/>
      <c r="U61" s="327"/>
    </row>
    <row r="62" spans="2:21">
      <c r="B62" s="667">
        <v>2164</v>
      </c>
      <c r="C62" s="668" t="s">
        <v>1049</v>
      </c>
      <c r="D62" s="669"/>
      <c r="E62" s="669"/>
      <c r="F62" s="670"/>
      <c r="G62" s="604"/>
      <c r="H62" s="605"/>
      <c r="I62" s="605"/>
      <c r="J62" s="489"/>
      <c r="K62" s="326"/>
      <c r="P62" s="327"/>
      <c r="Q62" s="327"/>
      <c r="R62" s="327"/>
      <c r="S62" s="327"/>
      <c r="T62" s="327"/>
      <c r="U62" s="327"/>
    </row>
    <row r="63" spans="2:21">
      <c r="B63" s="667">
        <v>2216</v>
      </c>
      <c r="C63" s="668" t="s">
        <v>1143</v>
      </c>
      <c r="D63" s="669"/>
      <c r="E63" s="669"/>
      <c r="F63" s="670"/>
      <c r="G63" s="604"/>
      <c r="H63" s="605"/>
      <c r="I63" s="605"/>
      <c r="J63" s="489"/>
      <c r="K63" s="326"/>
      <c r="P63" s="327"/>
      <c r="Q63" s="327"/>
      <c r="R63" s="327"/>
      <c r="S63" s="327"/>
      <c r="T63" s="327"/>
      <c r="U63" s="327"/>
    </row>
    <row r="64" spans="2:21">
      <c r="B64" s="667">
        <v>2344</v>
      </c>
      <c r="C64" s="668" t="s">
        <v>1161</v>
      </c>
      <c r="D64" s="669" t="s">
        <v>602</v>
      </c>
      <c r="E64" s="671"/>
      <c r="F64" s="670"/>
      <c r="G64" s="604"/>
      <c r="H64" s="605"/>
      <c r="I64" s="605"/>
      <c r="J64" s="489"/>
      <c r="K64" s="326"/>
      <c r="P64" s="327"/>
      <c r="Q64" s="327"/>
      <c r="R64" s="327"/>
      <c r="S64" s="327"/>
      <c r="T64" s="327"/>
      <c r="U64" s="327"/>
    </row>
    <row r="65" spans="2:21">
      <c r="B65" s="667">
        <v>2363</v>
      </c>
      <c r="C65" s="668" t="s">
        <v>1018</v>
      </c>
      <c r="D65" s="669" t="s">
        <v>602</v>
      </c>
      <c r="E65" s="669"/>
      <c r="F65" s="670"/>
      <c r="G65" s="604"/>
      <c r="H65" s="605"/>
      <c r="I65" s="605"/>
      <c r="J65" s="489"/>
      <c r="K65" s="326"/>
      <c r="P65" s="327"/>
      <c r="Q65" s="327"/>
      <c r="R65" s="327"/>
      <c r="S65" s="327"/>
      <c r="T65" s="327"/>
      <c r="U65" s="327"/>
    </row>
    <row r="66" spans="2:21">
      <c r="B66" s="667">
        <v>2449</v>
      </c>
      <c r="C66" s="668" t="s">
        <v>1139</v>
      </c>
      <c r="D66" s="669" t="s">
        <v>602</v>
      </c>
      <c r="E66" s="669"/>
      <c r="F66" s="670"/>
      <c r="G66" s="604"/>
      <c r="H66" s="605"/>
      <c r="I66" s="605"/>
      <c r="J66" s="489"/>
      <c r="K66" s="326"/>
      <c r="P66" s="327"/>
      <c r="Q66" s="327"/>
      <c r="R66" s="327"/>
      <c r="S66" s="327"/>
      <c r="T66" s="327"/>
      <c r="U66" s="327"/>
    </row>
    <row r="67" spans="2:21">
      <c r="B67" s="667">
        <v>2481</v>
      </c>
      <c r="C67" s="668" t="s">
        <v>1164</v>
      </c>
      <c r="D67" s="669" t="s">
        <v>602</v>
      </c>
      <c r="E67" s="669"/>
      <c r="F67" s="670"/>
      <c r="G67" s="604"/>
      <c r="H67" s="605"/>
      <c r="I67" s="605"/>
      <c r="J67" s="489"/>
      <c r="K67" s="326"/>
      <c r="P67" s="327"/>
      <c r="Q67" s="327"/>
      <c r="R67" s="327"/>
      <c r="S67" s="327"/>
      <c r="T67" s="327"/>
      <c r="U67" s="327"/>
    </row>
    <row r="68" spans="2:21">
      <c r="B68" s="667">
        <v>2493</v>
      </c>
      <c r="C68" s="668" t="s">
        <v>1157</v>
      </c>
      <c r="D68" s="669" t="s">
        <v>602</v>
      </c>
      <c r="E68" s="671"/>
      <c r="F68" s="670"/>
      <c r="G68" s="604"/>
      <c r="H68" s="605"/>
      <c r="I68" s="605"/>
      <c r="J68" s="489"/>
      <c r="K68" s="326"/>
      <c r="P68" s="327"/>
      <c r="Q68" s="327"/>
      <c r="R68" s="327"/>
      <c r="S68" s="327"/>
      <c r="T68" s="327"/>
      <c r="U68" s="327"/>
    </row>
    <row r="69" spans="2:21">
      <c r="B69" s="667">
        <v>2647</v>
      </c>
      <c r="C69" s="668" t="s">
        <v>939</v>
      </c>
      <c r="D69" s="669" t="s">
        <v>602</v>
      </c>
      <c r="E69" s="669"/>
      <c r="F69" s="670"/>
      <c r="G69" s="604"/>
      <c r="H69" s="605"/>
      <c r="I69" s="605"/>
      <c r="J69" s="489"/>
      <c r="K69" s="326"/>
      <c r="P69" s="327"/>
      <c r="Q69" s="327"/>
      <c r="R69" s="327"/>
      <c r="S69" s="327"/>
      <c r="T69" s="327"/>
      <c r="U69" s="327"/>
    </row>
    <row r="70" spans="2:21">
      <c r="B70" s="667">
        <v>2648</v>
      </c>
      <c r="C70" s="668" t="s">
        <v>938</v>
      </c>
      <c r="D70" s="669" t="s">
        <v>602</v>
      </c>
      <c r="E70" s="669"/>
      <c r="F70" s="670"/>
      <c r="G70" s="604"/>
      <c r="H70" s="605"/>
      <c r="I70" s="605"/>
      <c r="J70" s="489"/>
      <c r="K70" s="326"/>
      <c r="P70" s="327"/>
      <c r="Q70" s="327"/>
      <c r="R70" s="327"/>
      <c r="S70" s="327"/>
      <c r="T70" s="327"/>
      <c r="U70" s="327"/>
    </row>
    <row r="71" spans="2:21">
      <c r="B71" s="667">
        <v>2969</v>
      </c>
      <c r="C71" s="668" t="s">
        <v>936</v>
      </c>
      <c r="D71" s="669" t="s">
        <v>602</v>
      </c>
      <c r="E71" s="669"/>
      <c r="F71" s="670"/>
      <c r="G71" s="604"/>
      <c r="H71" s="605"/>
      <c r="I71" s="605"/>
      <c r="J71" s="489"/>
      <c r="K71" s="326"/>
      <c r="P71" s="327"/>
      <c r="Q71" s="327"/>
      <c r="R71" s="327"/>
      <c r="S71" s="327"/>
      <c r="T71" s="327"/>
      <c r="U71" s="327"/>
    </row>
    <row r="72" spans="2:21">
      <c r="B72" s="667">
        <v>3071</v>
      </c>
      <c r="C72" s="668" t="s">
        <v>1023</v>
      </c>
      <c r="D72" s="669" t="s">
        <v>602</v>
      </c>
      <c r="E72" s="671"/>
      <c r="F72" s="670"/>
      <c r="G72" s="604"/>
      <c r="H72" s="605"/>
      <c r="I72" s="605"/>
      <c r="J72" s="489"/>
      <c r="K72" s="326"/>
      <c r="P72" s="327"/>
      <c r="Q72" s="327"/>
      <c r="R72" s="327"/>
      <c r="S72" s="327"/>
      <c r="T72" s="327"/>
      <c r="U72" s="327"/>
    </row>
    <row r="73" spans="2:21">
      <c r="B73" s="667">
        <v>3094</v>
      </c>
      <c r="C73" s="668" t="s">
        <v>1034</v>
      </c>
      <c r="D73" s="669"/>
      <c r="E73" s="671"/>
      <c r="F73" s="670"/>
      <c r="G73" s="604"/>
      <c r="H73" s="605"/>
      <c r="I73" s="605"/>
      <c r="J73" s="489"/>
      <c r="K73" s="326"/>
      <c r="P73" s="327"/>
      <c r="Q73" s="327"/>
      <c r="R73" s="327"/>
      <c r="S73" s="327"/>
      <c r="T73" s="327"/>
      <c r="U73" s="327"/>
    </row>
    <row r="74" spans="2:21">
      <c r="B74" s="667">
        <v>3275</v>
      </c>
      <c r="C74" s="668" t="s">
        <v>1077</v>
      </c>
      <c r="D74" s="669" t="s">
        <v>602</v>
      </c>
      <c r="E74" s="669"/>
      <c r="F74" s="670"/>
      <c r="G74" s="604"/>
      <c r="H74" s="605"/>
      <c r="I74" s="605"/>
      <c r="J74" s="489"/>
      <c r="K74" s="326"/>
      <c r="P74" s="327"/>
      <c r="Q74" s="327"/>
      <c r="R74" s="327"/>
      <c r="S74" s="327"/>
      <c r="T74" s="327"/>
      <c r="U74" s="327"/>
    </row>
    <row r="75" spans="2:21">
      <c r="B75" s="667">
        <v>3883</v>
      </c>
      <c r="C75" s="668" t="s">
        <v>1132</v>
      </c>
      <c r="D75" s="669" t="s">
        <v>602</v>
      </c>
      <c r="E75" s="669"/>
      <c r="F75" s="670"/>
      <c r="G75" s="604"/>
      <c r="H75" s="605"/>
      <c r="I75" s="605"/>
      <c r="J75" s="489"/>
      <c r="K75" s="326"/>
      <c r="P75" s="327"/>
      <c r="Q75" s="327"/>
      <c r="R75" s="327"/>
      <c r="S75" s="327"/>
      <c r="T75" s="327"/>
      <c r="U75" s="327"/>
    </row>
    <row r="76" spans="2:21">
      <c r="B76" s="667">
        <v>4368</v>
      </c>
      <c r="C76" s="668" t="s">
        <v>1152</v>
      </c>
      <c r="D76" s="669" t="s">
        <v>602</v>
      </c>
      <c r="E76" s="669"/>
      <c r="F76" s="670"/>
      <c r="G76" s="604"/>
      <c r="H76" s="605"/>
      <c r="I76" s="605"/>
      <c r="J76" s="489"/>
      <c r="K76" s="326"/>
      <c r="P76" s="327"/>
      <c r="Q76" s="327"/>
      <c r="R76" s="327"/>
      <c r="S76" s="327"/>
      <c r="T76" s="327"/>
      <c r="U76" s="327"/>
    </row>
    <row r="77" spans="2:21">
      <c r="B77" s="667">
        <v>4370</v>
      </c>
      <c r="C77" s="668" t="s">
        <v>1151</v>
      </c>
      <c r="D77" s="669" t="s">
        <v>231</v>
      </c>
      <c r="E77" s="669"/>
      <c r="F77" s="670"/>
      <c r="G77" s="604"/>
      <c r="H77" s="605"/>
      <c r="I77" s="605"/>
      <c r="J77" s="489"/>
      <c r="K77" s="326"/>
      <c r="P77" s="327"/>
      <c r="Q77" s="327"/>
      <c r="R77" s="327"/>
      <c r="S77" s="327"/>
      <c r="T77" s="327"/>
      <c r="U77" s="327"/>
    </row>
    <row r="78" spans="2:21">
      <c r="B78" s="667">
        <v>4531</v>
      </c>
      <c r="C78" s="668" t="s">
        <v>942</v>
      </c>
      <c r="D78" s="669" t="s">
        <v>602</v>
      </c>
      <c r="E78" s="671"/>
      <c r="F78" s="670"/>
      <c r="G78" s="604"/>
      <c r="H78" s="605"/>
      <c r="I78" s="605"/>
      <c r="J78" s="489"/>
      <c r="K78" s="326"/>
      <c r="P78" s="327"/>
      <c r="Q78" s="327"/>
      <c r="R78" s="327"/>
      <c r="S78" s="327"/>
      <c r="T78" s="327"/>
      <c r="U78" s="327"/>
    </row>
    <row r="79" spans="2:21">
      <c r="B79" s="667">
        <v>4607</v>
      </c>
      <c r="C79" s="668" t="s">
        <v>937</v>
      </c>
      <c r="D79" s="669" t="s">
        <v>602</v>
      </c>
      <c r="E79" s="671"/>
      <c r="F79" s="670"/>
      <c r="G79" s="604"/>
      <c r="H79" s="605"/>
      <c r="I79" s="605"/>
      <c r="J79" s="489"/>
      <c r="K79" s="326"/>
      <c r="P79" s="327"/>
      <c r="Q79" s="327"/>
      <c r="R79" s="327"/>
      <c r="S79" s="327"/>
      <c r="T79" s="327"/>
      <c r="U79" s="327"/>
    </row>
    <row r="80" spans="2:21">
      <c r="B80" s="667">
        <v>4680</v>
      </c>
      <c r="C80" s="668" t="s">
        <v>1033</v>
      </c>
      <c r="D80" s="669"/>
      <c r="E80" s="671"/>
      <c r="F80" s="670"/>
      <c r="G80" s="604"/>
      <c r="H80" s="605"/>
      <c r="I80" s="605"/>
      <c r="J80" s="489"/>
      <c r="K80" s="326"/>
      <c r="P80" s="327"/>
      <c r="Q80" s="327"/>
      <c r="R80" s="327"/>
      <c r="S80" s="327"/>
      <c r="T80" s="327"/>
      <c r="U80" s="327"/>
    </row>
    <row r="81" spans="2:21">
      <c r="B81" s="667">
        <v>4879</v>
      </c>
      <c r="C81" s="668" t="s">
        <v>1149</v>
      </c>
      <c r="D81" s="669" t="s">
        <v>602</v>
      </c>
      <c r="E81" s="671"/>
      <c r="F81" s="670"/>
      <c r="G81" s="604"/>
      <c r="H81" s="605"/>
      <c r="I81" s="605"/>
      <c r="J81" s="489"/>
      <c r="K81" s="326"/>
      <c r="P81" s="327"/>
      <c r="Q81" s="327"/>
      <c r="R81" s="327"/>
      <c r="S81" s="327"/>
      <c r="T81" s="327"/>
      <c r="U81" s="327"/>
    </row>
    <row r="82" spans="2:21">
      <c r="B82" s="667">
        <v>4913</v>
      </c>
      <c r="C82" s="668" t="s">
        <v>1137</v>
      </c>
      <c r="D82" s="669"/>
      <c r="E82" s="671"/>
      <c r="F82" s="670"/>
      <c r="G82" s="604"/>
      <c r="H82" s="605"/>
      <c r="I82" s="605"/>
      <c r="J82" s="489"/>
      <c r="K82" s="326"/>
      <c r="P82" s="327"/>
      <c r="Q82" s="327"/>
      <c r="R82" s="327"/>
      <c r="S82" s="327"/>
      <c r="T82" s="327"/>
      <c r="U82" s="327"/>
    </row>
    <row r="83" spans="2:21">
      <c r="B83" s="667">
        <v>5323</v>
      </c>
      <c r="C83" s="668" t="s">
        <v>1024</v>
      </c>
      <c r="D83" s="669"/>
      <c r="E83" s="671"/>
      <c r="F83" s="670"/>
      <c r="G83" s="604"/>
      <c r="H83" s="605"/>
      <c r="I83" s="605"/>
      <c r="J83" s="489"/>
      <c r="K83" s="326"/>
      <c r="P83" s="327"/>
      <c r="Q83" s="327"/>
      <c r="R83" s="327"/>
      <c r="S83" s="327"/>
      <c r="T83" s="327"/>
      <c r="U83" s="327"/>
    </row>
    <row r="84" spans="2:21">
      <c r="B84" s="667">
        <v>5479</v>
      </c>
      <c r="C84" s="668" t="s">
        <v>1021</v>
      </c>
      <c r="D84" s="669" t="s">
        <v>231</v>
      </c>
      <c r="E84" s="669"/>
      <c r="F84" s="670"/>
      <c r="G84" s="604"/>
      <c r="H84" s="605"/>
      <c r="I84" s="605"/>
      <c r="J84" s="489"/>
      <c r="K84" s="326"/>
      <c r="P84" s="327"/>
      <c r="Q84" s="327"/>
      <c r="R84" s="327"/>
      <c r="S84" s="327"/>
      <c r="T84" s="327"/>
      <c r="U84" s="327"/>
    </row>
    <row r="85" spans="2:21">
      <c r="B85" s="667">
        <v>5511</v>
      </c>
      <c r="C85" s="668" t="s">
        <v>992</v>
      </c>
      <c r="D85" s="669" t="s">
        <v>602</v>
      </c>
      <c r="E85" s="669"/>
      <c r="F85" s="670"/>
      <c r="G85" s="604"/>
      <c r="H85" s="605"/>
      <c r="I85" s="605"/>
      <c r="J85" s="489"/>
      <c r="K85" s="326"/>
      <c r="P85" s="327"/>
      <c r="Q85" s="327"/>
      <c r="R85" s="327"/>
      <c r="S85" s="327"/>
      <c r="T85" s="327"/>
      <c r="U85" s="327"/>
    </row>
    <row r="86" spans="2:21">
      <c r="B86" s="667">
        <v>5512</v>
      </c>
      <c r="C86" s="668" t="s">
        <v>991</v>
      </c>
      <c r="D86" s="669" t="s">
        <v>602</v>
      </c>
      <c r="E86" s="669"/>
      <c r="F86" s="670"/>
      <c r="G86" s="604"/>
      <c r="H86" s="605"/>
      <c r="I86" s="605"/>
      <c r="J86" s="489"/>
      <c r="K86" s="326"/>
      <c r="P86" s="327"/>
      <c r="Q86" s="327"/>
      <c r="R86" s="327"/>
      <c r="S86" s="327"/>
      <c r="T86" s="327"/>
      <c r="U86" s="327"/>
    </row>
    <row r="87" spans="2:21">
      <c r="B87" s="667">
        <v>5597</v>
      </c>
      <c r="C87" s="668" t="s">
        <v>1114</v>
      </c>
      <c r="D87" s="669" t="s">
        <v>602</v>
      </c>
      <c r="E87" s="671"/>
      <c r="F87" s="670"/>
      <c r="G87" s="604"/>
      <c r="H87" s="605"/>
      <c r="I87" s="605"/>
      <c r="J87" s="489"/>
      <c r="K87" s="326"/>
      <c r="P87" s="327"/>
      <c r="Q87" s="327"/>
      <c r="R87" s="327"/>
      <c r="S87" s="327"/>
      <c r="T87" s="327"/>
      <c r="U87" s="327"/>
    </row>
    <row r="88" spans="2:21">
      <c r="B88" s="667">
        <v>5664</v>
      </c>
      <c r="C88" s="668" t="s">
        <v>1148</v>
      </c>
      <c r="D88" s="669" t="s">
        <v>602</v>
      </c>
      <c r="E88" s="671"/>
      <c r="F88" s="670"/>
      <c r="G88" s="604"/>
      <c r="H88" s="605"/>
      <c r="I88" s="605"/>
      <c r="J88" s="489"/>
      <c r="K88" s="326"/>
      <c r="P88" s="327"/>
      <c r="Q88" s="327"/>
      <c r="R88" s="327"/>
      <c r="S88" s="327"/>
      <c r="T88" s="327"/>
      <c r="U88" s="327"/>
    </row>
    <row r="89" spans="2:21">
      <c r="B89" s="667">
        <v>5726</v>
      </c>
      <c r="C89" s="668" t="s">
        <v>1040</v>
      </c>
      <c r="D89" s="669" t="s">
        <v>602</v>
      </c>
      <c r="E89" s="671"/>
      <c r="F89" s="670"/>
      <c r="G89" s="604"/>
      <c r="H89" s="605"/>
      <c r="I89" s="605"/>
      <c r="J89" s="489"/>
      <c r="K89" s="326"/>
      <c r="P89" s="327"/>
      <c r="Q89" s="327"/>
      <c r="R89" s="327"/>
      <c r="S89" s="327"/>
      <c r="T89" s="327"/>
      <c r="U89" s="327"/>
    </row>
    <row r="90" spans="2:21">
      <c r="B90" s="667">
        <v>5733</v>
      </c>
      <c r="C90" s="668" t="s">
        <v>1027</v>
      </c>
      <c r="D90" s="669" t="s">
        <v>8</v>
      </c>
      <c r="E90" s="671"/>
      <c r="F90" s="670"/>
      <c r="G90" s="604"/>
      <c r="H90" s="605"/>
      <c r="I90" s="605"/>
      <c r="J90" s="489"/>
      <c r="K90" s="326"/>
      <c r="P90" s="327"/>
      <c r="Q90" s="327"/>
      <c r="R90" s="327"/>
      <c r="S90" s="327"/>
      <c r="T90" s="327"/>
      <c r="U90" s="327"/>
    </row>
    <row r="91" spans="2:21">
      <c r="B91" s="667">
        <v>5821</v>
      </c>
      <c r="C91" s="668" t="s">
        <v>1020</v>
      </c>
      <c r="D91" s="669" t="s">
        <v>231</v>
      </c>
      <c r="E91" s="671"/>
      <c r="F91" s="670"/>
      <c r="G91" s="604"/>
      <c r="H91" s="605"/>
      <c r="I91" s="605"/>
      <c r="J91" s="489"/>
      <c r="K91" s="326"/>
      <c r="P91" s="327"/>
      <c r="Q91" s="327"/>
      <c r="R91" s="327"/>
      <c r="S91" s="327"/>
      <c r="T91" s="327"/>
      <c r="U91" s="327"/>
    </row>
    <row r="92" spans="2:21">
      <c r="B92" s="667">
        <v>5833</v>
      </c>
      <c r="C92" s="668" t="s">
        <v>1047</v>
      </c>
      <c r="D92" s="669" t="s">
        <v>240</v>
      </c>
      <c r="E92" s="671"/>
      <c r="F92" s="670"/>
      <c r="G92" s="604"/>
      <c r="H92" s="605"/>
      <c r="I92" s="605"/>
      <c r="J92" s="489"/>
      <c r="K92" s="326"/>
      <c r="P92" s="327"/>
      <c r="Q92" s="327"/>
      <c r="R92" s="327"/>
      <c r="S92" s="327"/>
      <c r="T92" s="327"/>
      <c r="U92" s="327"/>
    </row>
    <row r="93" spans="2:21">
      <c r="B93" s="667">
        <v>5835</v>
      </c>
      <c r="C93" s="668" t="s">
        <v>1133</v>
      </c>
      <c r="D93" s="669" t="s">
        <v>602</v>
      </c>
      <c r="E93" s="669"/>
      <c r="F93" s="670"/>
      <c r="G93" s="604"/>
      <c r="H93" s="605"/>
      <c r="I93" s="605"/>
      <c r="J93" s="489"/>
      <c r="K93" s="326"/>
      <c r="P93" s="327"/>
      <c r="Q93" s="327"/>
      <c r="R93" s="327"/>
      <c r="S93" s="327"/>
      <c r="T93" s="327"/>
      <c r="U93" s="327"/>
    </row>
    <row r="94" spans="2:21">
      <c r="B94" s="667">
        <v>5858</v>
      </c>
      <c r="C94" s="668" t="s">
        <v>1064</v>
      </c>
      <c r="D94" s="669" t="s">
        <v>240</v>
      </c>
      <c r="E94" s="671"/>
      <c r="F94" s="670"/>
      <c r="G94" s="604"/>
      <c r="H94" s="605"/>
      <c r="I94" s="605"/>
      <c r="J94" s="489"/>
      <c r="K94" s="326"/>
      <c r="P94" s="327"/>
      <c r="Q94" s="327"/>
      <c r="R94" s="327"/>
      <c r="S94" s="327"/>
      <c r="T94" s="327"/>
      <c r="U94" s="327"/>
    </row>
    <row r="95" spans="2:21">
      <c r="B95" s="667">
        <v>5860</v>
      </c>
      <c r="C95" s="668" t="s">
        <v>1062</v>
      </c>
      <c r="D95" s="669" t="s">
        <v>240</v>
      </c>
      <c r="E95" s="669"/>
      <c r="F95" s="670"/>
      <c r="G95" s="604"/>
      <c r="H95" s="605"/>
      <c r="I95" s="605"/>
      <c r="J95" s="489"/>
      <c r="K95" s="326"/>
      <c r="P95" s="327"/>
      <c r="Q95" s="327"/>
      <c r="R95" s="327"/>
      <c r="S95" s="327"/>
      <c r="T95" s="327"/>
      <c r="U95" s="327"/>
    </row>
    <row r="96" spans="2:21">
      <c r="B96" s="667">
        <v>5861</v>
      </c>
      <c r="C96" s="668" t="s">
        <v>1063</v>
      </c>
      <c r="D96" s="669" t="s">
        <v>240</v>
      </c>
      <c r="E96" s="669"/>
      <c r="F96" s="670"/>
      <c r="G96" s="604"/>
      <c r="H96" s="605"/>
      <c r="I96" s="605"/>
      <c r="J96" s="489"/>
      <c r="K96" s="326"/>
      <c r="P96" s="327"/>
      <c r="Q96" s="327"/>
      <c r="R96" s="327"/>
      <c r="S96" s="327"/>
      <c r="T96" s="327"/>
      <c r="U96" s="327"/>
    </row>
    <row r="97" spans="2:21">
      <c r="B97" s="667">
        <v>5874</v>
      </c>
      <c r="C97" s="668" t="s">
        <v>1026</v>
      </c>
      <c r="D97" s="669"/>
      <c r="E97" s="669"/>
      <c r="F97" s="670"/>
      <c r="G97" s="604"/>
      <c r="H97" s="605"/>
      <c r="I97" s="605"/>
      <c r="J97" s="489"/>
      <c r="K97" s="326"/>
      <c r="P97" s="327"/>
      <c r="Q97" s="327"/>
      <c r="R97" s="327"/>
      <c r="S97" s="327"/>
      <c r="T97" s="327"/>
      <c r="U97" s="327"/>
    </row>
    <row r="98" spans="2:21">
      <c r="B98" s="667">
        <v>5977</v>
      </c>
      <c r="C98" s="668" t="s">
        <v>1119</v>
      </c>
      <c r="D98" s="669"/>
      <c r="E98" s="671"/>
      <c r="F98" s="670"/>
      <c r="G98" s="604"/>
      <c r="H98" s="605"/>
      <c r="I98" s="605"/>
      <c r="J98" s="489"/>
      <c r="K98" s="326"/>
      <c r="P98" s="327"/>
      <c r="Q98" s="327"/>
      <c r="R98" s="327"/>
      <c r="S98" s="327"/>
      <c r="T98" s="327"/>
      <c r="U98" s="327"/>
    </row>
    <row r="99" spans="2:21">
      <c r="B99" s="667">
        <v>5980</v>
      </c>
      <c r="C99" s="668" t="s">
        <v>1125</v>
      </c>
      <c r="D99" s="669"/>
      <c r="E99" s="669"/>
      <c r="F99" s="670"/>
      <c r="G99" s="604"/>
      <c r="H99" s="605"/>
      <c r="I99" s="605"/>
      <c r="J99" s="489"/>
      <c r="K99" s="326"/>
      <c r="P99" s="327"/>
      <c r="Q99" s="327"/>
      <c r="R99" s="327"/>
      <c r="S99" s="327"/>
      <c r="T99" s="327"/>
      <c r="U99" s="327"/>
    </row>
    <row r="100" spans="2:21">
      <c r="B100" s="667">
        <v>6041</v>
      </c>
      <c r="C100" s="668" t="s">
        <v>941</v>
      </c>
      <c r="D100" s="669" t="s">
        <v>602</v>
      </c>
      <c r="E100" s="671"/>
      <c r="F100" s="670"/>
      <c r="G100" s="604"/>
      <c r="H100" s="605"/>
      <c r="I100" s="605"/>
      <c r="J100" s="489"/>
      <c r="K100" s="326"/>
      <c r="P100" s="327"/>
      <c r="Q100" s="327"/>
      <c r="R100" s="327"/>
      <c r="S100" s="327"/>
      <c r="T100" s="327"/>
      <c r="U100" s="327"/>
    </row>
    <row r="101" spans="2:21">
      <c r="B101" s="667">
        <v>6071</v>
      </c>
      <c r="C101" s="668" t="s">
        <v>1065</v>
      </c>
      <c r="D101" s="669"/>
      <c r="E101" s="671"/>
      <c r="F101" s="670"/>
      <c r="G101" s="604"/>
      <c r="H101" s="605"/>
      <c r="I101" s="605"/>
      <c r="J101" s="489"/>
      <c r="K101" s="326"/>
      <c r="P101" s="327"/>
      <c r="Q101" s="327"/>
      <c r="R101" s="327"/>
      <c r="S101" s="327"/>
      <c r="T101" s="327"/>
      <c r="U101" s="327"/>
    </row>
    <row r="102" spans="2:21">
      <c r="B102" s="667">
        <v>6173</v>
      </c>
      <c r="C102" s="668" t="s">
        <v>943</v>
      </c>
      <c r="D102" s="669" t="s">
        <v>602</v>
      </c>
      <c r="E102" s="671"/>
      <c r="F102" s="670"/>
      <c r="G102" s="604"/>
      <c r="H102" s="605"/>
      <c r="I102" s="605"/>
      <c r="J102" s="489"/>
      <c r="K102" s="326"/>
      <c r="P102" s="327"/>
      <c r="Q102" s="327"/>
      <c r="R102" s="327"/>
      <c r="S102" s="327"/>
      <c r="T102" s="327"/>
      <c r="U102" s="327"/>
    </row>
    <row r="103" spans="2:21">
      <c r="B103" s="667">
        <v>6179</v>
      </c>
      <c r="C103" s="668" t="s">
        <v>1059</v>
      </c>
      <c r="D103" s="669" t="s">
        <v>240</v>
      </c>
      <c r="E103" s="669"/>
      <c r="F103" s="670"/>
      <c r="G103" s="604"/>
      <c r="H103" s="605"/>
      <c r="I103" s="605"/>
      <c r="J103" s="489"/>
      <c r="K103" s="326"/>
      <c r="P103" s="327"/>
      <c r="Q103" s="327"/>
      <c r="R103" s="327"/>
      <c r="S103" s="327"/>
      <c r="T103" s="327"/>
      <c r="U103" s="327"/>
    </row>
    <row r="104" spans="2:21">
      <c r="B104" s="667">
        <v>6266</v>
      </c>
      <c r="C104" s="668" t="s">
        <v>1084</v>
      </c>
      <c r="D104" s="669"/>
      <c r="E104" s="671"/>
      <c r="F104" s="670"/>
      <c r="G104" s="604"/>
      <c r="H104" s="605"/>
      <c r="I104" s="605"/>
      <c r="J104" s="489"/>
      <c r="K104" s="326"/>
      <c r="P104" s="327"/>
      <c r="Q104" s="327"/>
      <c r="R104" s="327"/>
      <c r="S104" s="327"/>
      <c r="T104" s="327"/>
      <c r="U104" s="327"/>
    </row>
    <row r="105" spans="2:21">
      <c r="B105" s="667">
        <v>6332</v>
      </c>
      <c r="C105" s="668" t="s">
        <v>1130</v>
      </c>
      <c r="D105" s="669" t="s">
        <v>240</v>
      </c>
      <c r="E105" s="669"/>
      <c r="F105" s="670"/>
      <c r="G105" s="604"/>
      <c r="H105" s="605"/>
      <c r="I105" s="605"/>
      <c r="J105" s="489"/>
      <c r="K105" s="326"/>
      <c r="P105" s="327"/>
      <c r="Q105" s="327"/>
      <c r="R105" s="327"/>
      <c r="S105" s="327"/>
      <c r="T105" s="327"/>
      <c r="U105" s="327"/>
    </row>
    <row r="106" spans="2:21">
      <c r="B106" s="667">
        <v>6408</v>
      </c>
      <c r="C106" s="668" t="s">
        <v>1146</v>
      </c>
      <c r="D106" s="669" t="s">
        <v>602</v>
      </c>
      <c r="E106" s="671"/>
      <c r="F106" s="670"/>
      <c r="G106" s="604"/>
      <c r="H106" s="605"/>
      <c r="I106" s="605"/>
      <c r="J106" s="489"/>
      <c r="K106" s="326"/>
      <c r="P106" s="327"/>
      <c r="Q106" s="327"/>
      <c r="R106" s="327"/>
      <c r="S106" s="327"/>
      <c r="T106" s="327"/>
      <c r="U106" s="327"/>
    </row>
    <row r="107" spans="2:21">
      <c r="B107" s="667">
        <v>6435</v>
      </c>
      <c r="C107" s="668" t="s">
        <v>940</v>
      </c>
      <c r="D107" s="669" t="s">
        <v>602</v>
      </c>
      <c r="E107" s="669"/>
      <c r="F107" s="670"/>
      <c r="G107" s="604"/>
      <c r="H107" s="605"/>
      <c r="I107" s="605"/>
      <c r="J107" s="489"/>
      <c r="K107" s="326"/>
      <c r="P107" s="327"/>
      <c r="Q107" s="327"/>
      <c r="R107" s="327"/>
      <c r="S107" s="327"/>
      <c r="T107" s="327"/>
      <c r="U107" s="327"/>
    </row>
    <row r="108" spans="2:21">
      <c r="B108" s="667">
        <v>6463</v>
      </c>
      <c r="C108" s="668" t="s">
        <v>1079</v>
      </c>
      <c r="D108" s="669" t="s">
        <v>602</v>
      </c>
      <c r="E108" s="671"/>
      <c r="F108" s="670"/>
      <c r="G108" s="604"/>
      <c r="H108" s="605"/>
      <c r="I108" s="605"/>
      <c r="J108" s="489"/>
      <c r="K108" s="326"/>
      <c r="P108" s="327"/>
      <c r="Q108" s="327"/>
      <c r="R108" s="327"/>
      <c r="S108" s="327"/>
      <c r="T108" s="327"/>
      <c r="U108" s="327"/>
    </row>
    <row r="109" spans="2:21">
      <c r="B109" s="667">
        <v>6493</v>
      </c>
      <c r="C109" s="668" t="s">
        <v>1070</v>
      </c>
      <c r="D109" s="669" t="s">
        <v>602</v>
      </c>
      <c r="E109" s="669"/>
      <c r="F109" s="670"/>
      <c r="G109" s="604"/>
      <c r="H109" s="605"/>
      <c r="I109" s="605"/>
      <c r="J109" s="489"/>
      <c r="K109" s="326"/>
      <c r="P109" s="327"/>
      <c r="Q109" s="327"/>
      <c r="R109" s="327"/>
      <c r="S109" s="327"/>
      <c r="T109" s="327"/>
      <c r="U109" s="327"/>
    </row>
    <row r="110" spans="2:21">
      <c r="B110" s="667">
        <v>6535</v>
      </c>
      <c r="C110" s="668" t="s">
        <v>1050</v>
      </c>
      <c r="D110" s="669" t="s">
        <v>602</v>
      </c>
      <c r="E110" s="669"/>
      <c r="F110" s="670"/>
      <c r="G110" s="604"/>
      <c r="H110" s="605"/>
      <c r="I110" s="605"/>
      <c r="J110" s="489"/>
      <c r="K110" s="326"/>
      <c r="P110" s="327"/>
      <c r="Q110" s="327"/>
      <c r="R110" s="327"/>
      <c r="S110" s="327"/>
      <c r="T110" s="327"/>
      <c r="U110" s="327"/>
    </row>
    <row r="111" spans="2:21">
      <c r="B111" s="667">
        <v>6585</v>
      </c>
      <c r="C111" s="668" t="s">
        <v>1162</v>
      </c>
      <c r="D111" s="669"/>
      <c r="E111" s="669"/>
      <c r="F111" s="670"/>
      <c r="G111" s="604"/>
      <c r="H111" s="605"/>
      <c r="I111" s="605"/>
      <c r="J111" s="489"/>
      <c r="K111" s="326"/>
      <c r="P111" s="327"/>
      <c r="Q111" s="327"/>
      <c r="R111" s="327"/>
      <c r="S111" s="327"/>
      <c r="T111" s="327"/>
      <c r="U111" s="327"/>
    </row>
    <row r="112" spans="2:21">
      <c r="B112" s="667">
        <v>6600</v>
      </c>
      <c r="C112" s="668" t="s">
        <v>990</v>
      </c>
      <c r="D112" s="669" t="s">
        <v>602</v>
      </c>
      <c r="E112" s="671"/>
      <c r="F112" s="670"/>
      <c r="G112" s="604"/>
      <c r="H112" s="605"/>
      <c r="I112" s="605"/>
      <c r="J112" s="489"/>
      <c r="K112" s="326"/>
      <c r="P112" s="327"/>
      <c r="Q112" s="327"/>
      <c r="R112" s="327"/>
      <c r="S112" s="327"/>
      <c r="T112" s="327"/>
      <c r="U112" s="327"/>
    </row>
    <row r="113" spans="2:21">
      <c r="B113" s="667">
        <v>6607</v>
      </c>
      <c r="C113" s="668" t="s">
        <v>1058</v>
      </c>
      <c r="D113" s="669" t="s">
        <v>602</v>
      </c>
      <c r="E113" s="669"/>
      <c r="F113" s="670"/>
      <c r="G113" s="604"/>
      <c r="H113" s="605"/>
      <c r="I113" s="605"/>
      <c r="J113" s="326"/>
      <c r="K113" s="326"/>
      <c r="P113" s="327"/>
      <c r="Q113" s="327"/>
      <c r="R113" s="327"/>
      <c r="S113" s="327"/>
      <c r="T113" s="327"/>
      <c r="U113" s="327"/>
    </row>
    <row r="114" spans="2:21">
      <c r="B114" s="667">
        <v>6609</v>
      </c>
      <c r="C114" s="668" t="s">
        <v>944</v>
      </c>
      <c r="D114" s="669" t="s">
        <v>602</v>
      </c>
      <c r="E114" s="669"/>
      <c r="F114" s="670"/>
      <c r="G114" s="604"/>
      <c r="H114" s="605"/>
      <c r="I114" s="605"/>
      <c r="J114" s="489"/>
      <c r="K114" s="326"/>
      <c r="P114" s="327"/>
      <c r="Q114" s="327"/>
      <c r="R114" s="327"/>
      <c r="S114" s="327"/>
      <c r="T114" s="327"/>
      <c r="U114" s="327"/>
    </row>
    <row r="115" spans="2:21">
      <c r="B115" s="667">
        <v>6645</v>
      </c>
      <c r="C115" s="668" t="s">
        <v>1051</v>
      </c>
      <c r="D115" s="669" t="s">
        <v>240</v>
      </c>
      <c r="E115" s="669"/>
      <c r="F115" s="670"/>
      <c r="G115" s="604"/>
      <c r="H115" s="605"/>
      <c r="I115" s="605"/>
      <c r="J115" s="489"/>
      <c r="K115" s="326"/>
      <c r="P115" s="327"/>
      <c r="Q115" s="327"/>
      <c r="R115" s="327"/>
      <c r="S115" s="327"/>
      <c r="T115" s="327"/>
      <c r="U115" s="327"/>
    </row>
    <row r="116" spans="2:21">
      <c r="B116" s="667">
        <v>6666</v>
      </c>
      <c r="C116" s="668" t="s">
        <v>1042</v>
      </c>
      <c r="D116" s="669" t="s">
        <v>602</v>
      </c>
      <c r="E116" s="671"/>
      <c r="F116" s="670"/>
      <c r="G116" s="604"/>
      <c r="H116" s="605"/>
      <c r="I116" s="605"/>
      <c r="J116" s="489"/>
      <c r="K116" s="326"/>
      <c r="P116" s="327"/>
      <c r="Q116" s="327"/>
      <c r="R116" s="327"/>
      <c r="S116" s="327"/>
      <c r="T116" s="327"/>
      <c r="U116" s="327"/>
    </row>
    <row r="117" spans="2:21">
      <c r="B117" s="667">
        <v>6689</v>
      </c>
      <c r="C117" s="668" t="s">
        <v>948</v>
      </c>
      <c r="D117" s="669" t="s">
        <v>602</v>
      </c>
      <c r="E117" s="669"/>
      <c r="F117" s="670"/>
      <c r="G117" s="604"/>
      <c r="H117" s="605"/>
      <c r="I117" s="605"/>
      <c r="J117" s="489"/>
      <c r="K117" s="326"/>
      <c r="P117" s="327"/>
      <c r="Q117" s="327"/>
      <c r="R117" s="327"/>
      <c r="S117" s="327"/>
      <c r="T117" s="327"/>
      <c r="U117" s="327"/>
    </row>
    <row r="118" spans="2:21">
      <c r="B118" s="667">
        <v>6695</v>
      </c>
      <c r="C118" s="668" t="s">
        <v>1028</v>
      </c>
      <c r="D118" s="669" t="s">
        <v>602</v>
      </c>
      <c r="E118" s="671"/>
      <c r="F118" s="670"/>
      <c r="G118" s="604"/>
      <c r="H118" s="605"/>
      <c r="I118" s="605"/>
      <c r="J118" s="489"/>
      <c r="K118" s="326"/>
      <c r="P118" s="327"/>
      <c r="Q118" s="327"/>
      <c r="R118" s="327"/>
      <c r="S118" s="327"/>
      <c r="T118" s="327"/>
      <c r="U118" s="327"/>
    </row>
    <row r="119" spans="2:21">
      <c r="B119" s="667">
        <v>6727</v>
      </c>
      <c r="C119" s="668" t="s">
        <v>994</v>
      </c>
      <c r="D119" s="669" t="s">
        <v>602</v>
      </c>
      <c r="E119" s="671"/>
      <c r="F119" s="670"/>
      <c r="G119" s="604"/>
      <c r="H119" s="605"/>
      <c r="I119" s="605"/>
      <c r="J119" s="489"/>
      <c r="K119" s="326"/>
      <c r="P119" s="327"/>
      <c r="Q119" s="327"/>
      <c r="R119" s="327"/>
      <c r="S119" s="327"/>
      <c r="T119" s="327"/>
      <c r="U119" s="327"/>
    </row>
    <row r="120" spans="2:21">
      <c r="B120" s="667">
        <v>6758</v>
      </c>
      <c r="C120" s="668" t="s">
        <v>934</v>
      </c>
      <c r="D120" s="669" t="s">
        <v>602</v>
      </c>
      <c r="E120" s="669"/>
      <c r="F120" s="670"/>
      <c r="G120" s="604"/>
      <c r="H120" s="605"/>
      <c r="I120" s="605"/>
      <c r="J120" s="489"/>
      <c r="K120" s="326"/>
      <c r="P120" s="327"/>
      <c r="Q120" s="327"/>
      <c r="R120" s="327"/>
      <c r="S120" s="327"/>
      <c r="T120" s="327"/>
      <c r="U120" s="327"/>
    </row>
    <row r="121" spans="2:21">
      <c r="B121" s="667">
        <v>6794</v>
      </c>
      <c r="C121" s="668" t="s">
        <v>1078</v>
      </c>
      <c r="D121" s="669" t="s">
        <v>602</v>
      </c>
      <c r="E121" s="671"/>
      <c r="F121" s="670"/>
      <c r="G121" s="604"/>
      <c r="H121" s="605"/>
      <c r="I121" s="605"/>
      <c r="J121" s="489"/>
      <c r="K121" s="326"/>
      <c r="P121" s="327"/>
      <c r="Q121" s="327"/>
      <c r="R121" s="327"/>
      <c r="S121" s="327"/>
      <c r="T121" s="327"/>
      <c r="U121" s="327"/>
    </row>
    <row r="122" spans="2:21">
      <c r="B122" s="667">
        <v>6966</v>
      </c>
      <c r="C122" s="668" t="s">
        <v>1135</v>
      </c>
      <c r="D122" s="669" t="s">
        <v>602</v>
      </c>
      <c r="E122" s="671"/>
      <c r="F122" s="670"/>
      <c r="G122" s="604"/>
      <c r="H122" s="605"/>
      <c r="I122" s="605"/>
      <c r="J122" s="489"/>
      <c r="K122" s="326"/>
      <c r="P122" s="327"/>
      <c r="Q122" s="327"/>
      <c r="R122" s="327"/>
      <c r="S122" s="327"/>
      <c r="T122" s="327"/>
      <c r="U122" s="327"/>
    </row>
    <row r="123" spans="2:21">
      <c r="B123" s="667">
        <v>6975</v>
      </c>
      <c r="C123" s="668" t="s">
        <v>1131</v>
      </c>
      <c r="D123" s="669" t="s">
        <v>602</v>
      </c>
      <c r="E123" s="669"/>
      <c r="F123" s="670"/>
      <c r="G123" s="604"/>
      <c r="H123" s="605"/>
      <c r="I123" s="605"/>
      <c r="J123" s="489"/>
      <c r="K123" s="326"/>
      <c r="P123" s="327"/>
      <c r="Q123" s="327"/>
      <c r="R123" s="327"/>
      <c r="S123" s="327"/>
      <c r="T123" s="327"/>
      <c r="U123" s="327"/>
    </row>
    <row r="124" spans="2:21">
      <c r="B124" s="667">
        <v>7022</v>
      </c>
      <c r="C124" s="668" t="s">
        <v>1022</v>
      </c>
      <c r="D124" s="669" t="s">
        <v>240</v>
      </c>
      <c r="E124" s="671"/>
      <c r="F124" s="670"/>
      <c r="G124" s="604"/>
      <c r="H124" s="605"/>
      <c r="I124" s="605"/>
      <c r="J124" s="489"/>
      <c r="K124" s="326"/>
      <c r="P124" s="327"/>
      <c r="Q124" s="327"/>
      <c r="R124" s="327"/>
      <c r="S124" s="327"/>
      <c r="T124" s="327"/>
      <c r="U124" s="327"/>
    </row>
    <row r="125" spans="2:21">
      <c r="B125" s="667">
        <v>7088</v>
      </c>
      <c r="C125" s="668" t="s">
        <v>1088</v>
      </c>
      <c r="D125" s="669" t="s">
        <v>602</v>
      </c>
      <c r="E125" s="669"/>
      <c r="F125" s="670"/>
      <c r="G125" s="604"/>
      <c r="H125" s="605"/>
      <c r="I125" s="605"/>
      <c r="J125" s="489"/>
      <c r="K125" s="326"/>
      <c r="P125" s="327"/>
      <c r="Q125" s="327"/>
      <c r="R125" s="327"/>
      <c r="S125" s="327"/>
      <c r="T125" s="327"/>
      <c r="U125" s="327"/>
    </row>
    <row r="126" spans="2:21">
      <c r="B126" s="667">
        <v>7103</v>
      </c>
      <c r="C126" s="668" t="s">
        <v>1141</v>
      </c>
      <c r="D126" s="669" t="s">
        <v>602</v>
      </c>
      <c r="E126" s="669"/>
      <c r="F126" s="670"/>
      <c r="G126" s="604"/>
      <c r="H126" s="605"/>
      <c r="I126" s="605"/>
      <c r="J126" s="489"/>
      <c r="K126" s="326"/>
      <c r="P126" s="327"/>
      <c r="Q126" s="327"/>
      <c r="R126" s="327"/>
      <c r="S126" s="327"/>
      <c r="T126" s="327"/>
      <c r="U126" s="327"/>
    </row>
    <row r="127" spans="2:21">
      <c r="B127" s="667">
        <v>7317</v>
      </c>
      <c r="C127" s="668" t="s">
        <v>1090</v>
      </c>
      <c r="D127" s="669"/>
      <c r="E127" s="669"/>
      <c r="F127" s="670"/>
      <c r="G127" s="604"/>
      <c r="H127" s="605"/>
      <c r="I127" s="605"/>
      <c r="J127" s="489"/>
      <c r="K127" s="326"/>
      <c r="P127" s="327"/>
      <c r="Q127" s="327"/>
      <c r="R127" s="327"/>
      <c r="S127" s="327"/>
      <c r="T127" s="327"/>
      <c r="U127" s="327"/>
    </row>
    <row r="128" spans="2:21">
      <c r="B128" s="667">
        <v>7318</v>
      </c>
      <c r="C128" s="668" t="s">
        <v>1089</v>
      </c>
      <c r="D128" s="669" t="s">
        <v>602</v>
      </c>
      <c r="E128" s="669"/>
      <c r="F128" s="670"/>
      <c r="G128" s="604"/>
      <c r="H128" s="605"/>
      <c r="I128" s="605"/>
      <c r="J128" s="489"/>
      <c r="K128" s="326"/>
      <c r="P128" s="327"/>
      <c r="Q128" s="327"/>
      <c r="R128" s="327"/>
      <c r="S128" s="327"/>
      <c r="T128" s="327"/>
      <c r="U128" s="327"/>
    </row>
    <row r="129" spans="2:21">
      <c r="B129" s="667">
        <v>7357</v>
      </c>
      <c r="C129" s="668" t="s">
        <v>1068</v>
      </c>
      <c r="D129" s="669" t="s">
        <v>602</v>
      </c>
      <c r="E129" s="669"/>
      <c r="F129" s="670"/>
      <c r="G129" s="604"/>
      <c r="H129" s="605"/>
      <c r="I129" s="605"/>
      <c r="J129" s="489"/>
      <c r="K129" s="326"/>
      <c r="P129" s="327"/>
      <c r="Q129" s="327"/>
      <c r="R129" s="327"/>
      <c r="S129" s="327"/>
      <c r="T129" s="327"/>
      <c r="U129" s="327"/>
    </row>
    <row r="130" spans="2:21">
      <c r="B130" s="667">
        <v>7453</v>
      </c>
      <c r="C130" s="668" t="s">
        <v>1066</v>
      </c>
      <c r="D130" s="669" t="s">
        <v>602</v>
      </c>
      <c r="E130" s="669"/>
      <c r="F130" s="670"/>
      <c r="G130" s="604"/>
      <c r="H130" s="605"/>
      <c r="I130" s="605"/>
      <c r="J130" s="489"/>
      <c r="K130" s="326"/>
      <c r="P130" s="327"/>
      <c r="Q130" s="327"/>
      <c r="R130" s="327"/>
      <c r="S130" s="327"/>
      <c r="T130" s="327"/>
      <c r="U130" s="327"/>
    </row>
    <row r="131" spans="2:21">
      <c r="B131" s="667">
        <v>7454</v>
      </c>
      <c r="C131" s="668" t="s">
        <v>1067</v>
      </c>
      <c r="D131" s="669"/>
      <c r="E131" s="671"/>
      <c r="F131" s="670"/>
      <c r="G131" s="604"/>
      <c r="H131" s="605"/>
      <c r="I131" s="605"/>
      <c r="J131" s="489"/>
      <c r="K131" s="326"/>
      <c r="P131" s="327"/>
      <c r="Q131" s="327"/>
      <c r="R131" s="327"/>
      <c r="S131" s="327"/>
      <c r="T131" s="327"/>
      <c r="U131" s="327"/>
    </row>
    <row r="132" spans="2:21">
      <c r="B132" s="667">
        <v>7474</v>
      </c>
      <c r="C132" s="668" t="s">
        <v>1160</v>
      </c>
      <c r="D132" s="669" t="s">
        <v>602</v>
      </c>
      <c r="E132" s="669"/>
      <c r="F132" s="670"/>
      <c r="G132" s="604"/>
      <c r="H132" s="605"/>
      <c r="I132" s="605"/>
      <c r="J132" s="489"/>
      <c r="K132" s="326"/>
      <c r="P132" s="327"/>
      <c r="Q132" s="327"/>
      <c r="R132" s="327"/>
      <c r="S132" s="327"/>
      <c r="T132" s="327"/>
      <c r="U132" s="327"/>
    </row>
    <row r="133" spans="2:21">
      <c r="B133" s="667">
        <v>7648</v>
      </c>
      <c r="C133" s="668" t="s">
        <v>993</v>
      </c>
      <c r="D133" s="669" t="s">
        <v>602</v>
      </c>
      <c r="E133" s="669"/>
      <c r="F133" s="670"/>
      <c r="G133" s="604"/>
      <c r="H133" s="605"/>
      <c r="I133" s="605"/>
      <c r="J133" s="489"/>
      <c r="K133" s="326"/>
      <c r="P133" s="327"/>
      <c r="Q133" s="327"/>
      <c r="R133" s="327"/>
      <c r="S133" s="327"/>
      <c r="T133" s="327"/>
      <c r="U133" s="327"/>
    </row>
    <row r="134" spans="2:21">
      <c r="B134" s="667">
        <v>7699</v>
      </c>
      <c r="C134" s="668" t="s">
        <v>1069</v>
      </c>
      <c r="D134" s="669" t="s">
        <v>240</v>
      </c>
      <c r="E134" s="669"/>
      <c r="F134" s="670"/>
      <c r="G134" s="604"/>
      <c r="H134" s="605"/>
      <c r="I134" s="605"/>
      <c r="J134" s="489"/>
      <c r="K134" s="326"/>
      <c r="P134" s="327"/>
      <c r="Q134" s="327"/>
      <c r="R134" s="327"/>
      <c r="S134" s="327"/>
      <c r="T134" s="327"/>
      <c r="U134" s="327"/>
    </row>
    <row r="135" spans="2:21">
      <c r="B135" s="667">
        <v>7715</v>
      </c>
      <c r="C135" s="668" t="s">
        <v>1117</v>
      </c>
      <c r="D135" s="669" t="s">
        <v>602</v>
      </c>
      <c r="E135" s="671"/>
      <c r="F135" s="670"/>
      <c r="G135" s="604"/>
      <c r="H135" s="605"/>
      <c r="I135" s="605"/>
      <c r="J135" s="489"/>
      <c r="K135" s="326"/>
      <c r="P135" s="327"/>
      <c r="Q135" s="327"/>
      <c r="R135" s="327"/>
      <c r="S135" s="327"/>
      <c r="T135" s="327"/>
      <c r="U135" s="327"/>
    </row>
    <row r="136" spans="2:21">
      <c r="B136" s="667">
        <v>7819</v>
      </c>
      <c r="C136" s="668" t="s">
        <v>1085</v>
      </c>
      <c r="D136" s="669" t="s">
        <v>602</v>
      </c>
      <c r="E136" s="669"/>
      <c r="F136" s="670"/>
      <c r="G136" s="604"/>
      <c r="H136" s="605"/>
      <c r="I136" s="605"/>
      <c r="J136" s="489"/>
      <c r="K136" s="326"/>
      <c r="P136" s="327"/>
      <c r="Q136" s="327"/>
      <c r="R136" s="327"/>
      <c r="S136" s="327"/>
      <c r="T136" s="327"/>
      <c r="U136" s="327"/>
    </row>
    <row r="137" spans="2:21">
      <c r="B137" s="667">
        <v>7900</v>
      </c>
      <c r="C137" s="668" t="s">
        <v>1144</v>
      </c>
      <c r="D137" s="669" t="s">
        <v>8</v>
      </c>
      <c r="E137" s="671"/>
      <c r="F137" s="670"/>
      <c r="G137" s="604"/>
      <c r="H137" s="605"/>
      <c r="I137" s="605"/>
      <c r="J137" s="489"/>
      <c r="K137" s="326"/>
      <c r="P137" s="327"/>
      <c r="Q137" s="327"/>
      <c r="R137" s="327"/>
      <c r="S137" s="327"/>
      <c r="T137" s="327"/>
      <c r="U137" s="327"/>
    </row>
    <row r="138" spans="2:21">
      <c r="B138" s="667">
        <v>7915</v>
      </c>
      <c r="C138" s="668" t="s">
        <v>1118</v>
      </c>
      <c r="D138" s="669" t="s">
        <v>231</v>
      </c>
      <c r="E138" s="669"/>
      <c r="F138" s="670"/>
      <c r="G138" s="604"/>
      <c r="H138" s="605"/>
      <c r="I138" s="605"/>
      <c r="J138" s="489"/>
      <c r="K138" s="326"/>
      <c r="P138" s="327"/>
      <c r="Q138" s="327"/>
      <c r="R138" s="327"/>
      <c r="S138" s="327"/>
      <c r="T138" s="327"/>
      <c r="U138" s="327"/>
    </row>
    <row r="139" spans="2:21">
      <c r="B139" s="667">
        <v>7968</v>
      </c>
      <c r="C139" s="668" t="s">
        <v>1071</v>
      </c>
      <c r="D139" s="669" t="s">
        <v>602</v>
      </c>
      <c r="E139" s="669"/>
      <c r="F139" s="670"/>
      <c r="G139" s="604"/>
      <c r="H139" s="605"/>
      <c r="I139" s="605"/>
      <c r="J139" s="489"/>
      <c r="K139" s="326"/>
      <c r="P139" s="327"/>
      <c r="Q139" s="327"/>
      <c r="R139" s="327"/>
      <c r="S139" s="327"/>
      <c r="T139" s="327"/>
      <c r="U139" s="327"/>
    </row>
    <row r="140" spans="2:21">
      <c r="B140" s="667">
        <v>8061</v>
      </c>
      <c r="C140" s="668" t="s">
        <v>945</v>
      </c>
      <c r="D140" s="669" t="s">
        <v>602</v>
      </c>
      <c r="E140" s="669"/>
      <c r="F140" s="670"/>
      <c r="G140" s="604"/>
      <c r="H140" s="605"/>
      <c r="I140" s="605"/>
      <c r="J140" s="489"/>
      <c r="K140" s="326"/>
      <c r="P140" s="327"/>
      <c r="Q140" s="327"/>
      <c r="R140" s="327"/>
      <c r="S140" s="327"/>
      <c r="T140" s="327"/>
      <c r="U140" s="327"/>
    </row>
    <row r="141" spans="2:21">
      <c r="B141" s="667">
        <v>8127</v>
      </c>
      <c r="C141" s="668" t="s">
        <v>1091</v>
      </c>
      <c r="D141" s="669" t="s">
        <v>602</v>
      </c>
      <c r="E141" s="669"/>
      <c r="F141" s="670"/>
      <c r="G141" s="604"/>
      <c r="H141" s="605"/>
      <c r="I141" s="605"/>
      <c r="J141" s="489"/>
      <c r="K141" s="326"/>
      <c r="P141" s="327"/>
      <c r="Q141" s="327"/>
      <c r="R141" s="327"/>
      <c r="S141" s="327"/>
      <c r="T141" s="327"/>
      <c r="U141" s="327"/>
    </row>
    <row r="142" spans="2:21">
      <c r="B142" s="667">
        <v>8145</v>
      </c>
      <c r="C142" s="668" t="s">
        <v>1092</v>
      </c>
      <c r="D142" s="669"/>
      <c r="E142" s="669"/>
      <c r="F142" s="670"/>
      <c r="G142" s="604"/>
      <c r="H142" s="605"/>
      <c r="I142" s="605"/>
      <c r="J142" s="489"/>
      <c r="K142" s="326"/>
      <c r="P142" s="327"/>
      <c r="Q142" s="327"/>
      <c r="R142" s="327"/>
      <c r="S142" s="327"/>
      <c r="T142" s="327"/>
      <c r="U142" s="327"/>
    </row>
    <row r="143" spans="2:21">
      <c r="B143" s="667">
        <v>8150</v>
      </c>
      <c r="C143" s="668" t="s">
        <v>1046</v>
      </c>
      <c r="D143" s="669"/>
      <c r="E143" s="669"/>
      <c r="F143" s="670"/>
      <c r="G143" s="604"/>
      <c r="H143" s="605"/>
      <c r="I143" s="605"/>
      <c r="J143" s="489"/>
      <c r="K143" s="326"/>
      <c r="P143" s="327"/>
      <c r="Q143" s="327"/>
      <c r="R143" s="327"/>
      <c r="S143" s="327"/>
      <c r="T143" s="327"/>
      <c r="U143" s="327"/>
    </row>
    <row r="144" spans="2:21">
      <c r="B144" s="667">
        <v>8178</v>
      </c>
      <c r="C144" s="668" t="s">
        <v>1094</v>
      </c>
      <c r="D144" s="669"/>
      <c r="E144" s="669"/>
      <c r="F144" s="670"/>
      <c r="G144" s="604"/>
      <c r="H144" s="605"/>
      <c r="I144" s="605"/>
      <c r="J144" s="489"/>
      <c r="K144" s="326"/>
      <c r="P144" s="327"/>
      <c r="Q144" s="327"/>
      <c r="R144" s="327"/>
      <c r="S144" s="327"/>
      <c r="T144" s="327"/>
      <c r="U144" s="327"/>
    </row>
    <row r="145" spans="2:21">
      <c r="B145" s="667">
        <v>8179</v>
      </c>
      <c r="C145" s="668" t="s">
        <v>1093</v>
      </c>
      <c r="D145" s="669" t="s">
        <v>602</v>
      </c>
      <c r="E145" s="669"/>
      <c r="F145" s="670"/>
      <c r="G145" s="604"/>
      <c r="H145" s="605"/>
      <c r="I145" s="605"/>
      <c r="J145" s="489"/>
      <c r="K145" s="326"/>
      <c r="P145" s="327"/>
      <c r="Q145" s="327"/>
      <c r="R145" s="327"/>
      <c r="S145" s="327"/>
      <c r="T145" s="327"/>
      <c r="U145" s="327"/>
    </row>
    <row r="146" spans="2:21">
      <c r="B146" s="667">
        <v>8438</v>
      </c>
      <c r="C146" s="668" t="s">
        <v>1080</v>
      </c>
      <c r="D146" s="669"/>
      <c r="E146" s="671"/>
      <c r="F146" s="670"/>
      <c r="G146" s="604"/>
      <c r="H146" s="605"/>
      <c r="I146" s="605"/>
      <c r="J146" s="489"/>
      <c r="K146" s="326"/>
      <c r="P146" s="327"/>
      <c r="Q146" s="327"/>
      <c r="R146" s="327"/>
      <c r="S146" s="327"/>
      <c r="T146" s="327"/>
      <c r="U146" s="327"/>
    </row>
    <row r="147" spans="2:21">
      <c r="B147" s="667">
        <v>8448</v>
      </c>
      <c r="C147" s="668" t="s">
        <v>1123</v>
      </c>
      <c r="D147" s="669" t="s">
        <v>602</v>
      </c>
      <c r="E147" s="669"/>
      <c r="F147" s="670"/>
      <c r="G147" s="604"/>
      <c r="H147" s="605"/>
      <c r="I147" s="605"/>
      <c r="J147" s="489"/>
      <c r="K147" s="326"/>
      <c r="P147" s="327"/>
      <c r="Q147" s="327"/>
      <c r="R147" s="327"/>
      <c r="S147" s="327"/>
      <c r="T147" s="327"/>
      <c r="U147" s="327"/>
    </row>
    <row r="148" spans="2:21">
      <c r="B148" s="667">
        <v>8455</v>
      </c>
      <c r="C148" s="668" t="s">
        <v>1122</v>
      </c>
      <c r="D148" s="669" t="s">
        <v>602</v>
      </c>
      <c r="E148" s="669"/>
      <c r="F148" s="670"/>
      <c r="G148" s="604"/>
      <c r="H148" s="605"/>
      <c r="I148" s="605"/>
      <c r="J148" s="489"/>
      <c r="K148" s="326"/>
      <c r="P148" s="327"/>
      <c r="Q148" s="327"/>
      <c r="R148" s="327"/>
      <c r="S148" s="327"/>
      <c r="T148" s="327"/>
      <c r="U148" s="327"/>
    </row>
    <row r="149" spans="2:21">
      <c r="B149" s="667">
        <v>8467</v>
      </c>
      <c r="C149" s="668" t="s">
        <v>1136</v>
      </c>
      <c r="D149" s="669"/>
      <c r="E149" s="669"/>
      <c r="F149" s="670"/>
      <c r="G149" s="604"/>
      <c r="H149" s="605"/>
      <c r="I149" s="605"/>
      <c r="J149" s="489"/>
      <c r="K149" s="326"/>
      <c r="P149" s="327"/>
      <c r="Q149" s="327"/>
      <c r="R149" s="327"/>
      <c r="S149" s="327"/>
      <c r="T149" s="327"/>
      <c r="U149" s="327"/>
    </row>
    <row r="150" spans="2:21">
      <c r="B150" s="667">
        <v>8504</v>
      </c>
      <c r="C150" s="668" t="s">
        <v>1120</v>
      </c>
      <c r="D150" s="669" t="s">
        <v>231</v>
      </c>
      <c r="E150" s="671"/>
      <c r="F150" s="670"/>
      <c r="G150" s="604"/>
      <c r="H150" s="605"/>
      <c r="I150" s="605"/>
      <c r="J150" s="489"/>
      <c r="K150" s="326"/>
      <c r="P150" s="327"/>
      <c r="Q150" s="327"/>
      <c r="R150" s="327"/>
      <c r="S150" s="327"/>
      <c r="T150" s="327"/>
      <c r="U150" s="327"/>
    </row>
    <row r="151" spans="2:21">
      <c r="B151" s="667">
        <v>8508</v>
      </c>
      <c r="C151" s="668" t="s">
        <v>1060</v>
      </c>
      <c r="D151" s="669"/>
      <c r="E151" s="671"/>
      <c r="F151" s="670"/>
      <c r="G151" s="604"/>
      <c r="H151" s="605"/>
      <c r="I151" s="605"/>
      <c r="J151" s="489"/>
      <c r="K151" s="326"/>
      <c r="P151" s="327"/>
      <c r="Q151" s="327"/>
      <c r="R151" s="327"/>
      <c r="S151" s="327"/>
      <c r="T151" s="327"/>
      <c r="U151" s="327"/>
    </row>
    <row r="152" spans="2:21">
      <c r="B152" s="667">
        <v>8584</v>
      </c>
      <c r="C152" s="668" t="s">
        <v>989</v>
      </c>
      <c r="D152" s="669" t="s">
        <v>8</v>
      </c>
      <c r="E152" s="669"/>
      <c r="F152" s="670"/>
      <c r="G152" s="604"/>
      <c r="H152" s="605"/>
      <c r="I152" s="605"/>
      <c r="J152" s="489"/>
      <c r="K152" s="326"/>
      <c r="P152" s="327"/>
      <c r="Q152" s="327"/>
      <c r="R152" s="327"/>
      <c r="S152" s="327"/>
      <c r="T152" s="327"/>
      <c r="U152" s="327"/>
    </row>
    <row r="153" spans="2:21">
      <c r="B153" s="667">
        <v>8702</v>
      </c>
      <c r="C153" s="668" t="s">
        <v>1153</v>
      </c>
      <c r="D153" s="669" t="s">
        <v>602</v>
      </c>
      <c r="E153" s="669"/>
      <c r="F153" s="670"/>
      <c r="G153" s="604"/>
      <c r="H153" s="605"/>
      <c r="I153" s="605"/>
      <c r="J153" s="489"/>
      <c r="K153" s="326"/>
      <c r="P153" s="327"/>
      <c r="Q153" s="327"/>
      <c r="R153" s="327"/>
      <c r="S153" s="327"/>
      <c r="T153" s="327"/>
      <c r="U153" s="327"/>
    </row>
    <row r="154" spans="2:21">
      <c r="B154" s="667">
        <v>8781</v>
      </c>
      <c r="C154" s="668" t="s">
        <v>1038</v>
      </c>
      <c r="D154" s="669" t="s">
        <v>602</v>
      </c>
      <c r="E154" s="669"/>
      <c r="F154" s="670"/>
      <c r="G154" s="604"/>
      <c r="H154" s="605"/>
      <c r="I154" s="605"/>
      <c r="J154" s="489"/>
      <c r="K154" s="326"/>
      <c r="P154" s="327"/>
      <c r="Q154" s="327"/>
      <c r="R154" s="327"/>
      <c r="S154" s="327"/>
      <c r="T154" s="327"/>
      <c r="U154" s="327"/>
    </row>
    <row r="155" spans="2:21">
      <c r="B155" s="667">
        <v>8812</v>
      </c>
      <c r="C155" s="668" t="s">
        <v>1029</v>
      </c>
      <c r="D155" s="669" t="s">
        <v>602</v>
      </c>
      <c r="E155" s="671"/>
      <c r="F155" s="670"/>
      <c r="G155" s="604"/>
      <c r="H155" s="605"/>
      <c r="I155" s="605"/>
      <c r="J155" s="489"/>
      <c r="K155" s="326"/>
      <c r="P155" s="327"/>
      <c r="Q155" s="327"/>
      <c r="R155" s="327"/>
      <c r="S155" s="327"/>
      <c r="T155" s="327"/>
      <c r="U155" s="327"/>
    </row>
    <row r="156" spans="2:21">
      <c r="B156" s="667">
        <v>8946</v>
      </c>
      <c r="C156" s="668" t="s">
        <v>1081</v>
      </c>
      <c r="D156" s="669"/>
      <c r="E156" s="671"/>
      <c r="F156" s="670"/>
      <c r="G156" s="604"/>
      <c r="H156" s="605"/>
      <c r="I156" s="605"/>
      <c r="J156" s="489"/>
      <c r="K156" s="326"/>
      <c r="P156" s="327"/>
      <c r="Q156" s="327"/>
      <c r="R156" s="327"/>
      <c r="S156" s="327"/>
      <c r="T156" s="327"/>
      <c r="U156" s="327"/>
    </row>
    <row r="157" spans="2:21">
      <c r="B157" s="667">
        <v>8956</v>
      </c>
      <c r="C157" s="668" t="s">
        <v>1075</v>
      </c>
      <c r="D157" s="669"/>
      <c r="E157" s="671"/>
      <c r="F157" s="670"/>
      <c r="G157" s="604"/>
      <c r="H157" s="605"/>
      <c r="I157" s="605"/>
      <c r="J157" s="489"/>
      <c r="K157" s="326"/>
      <c r="P157" s="327"/>
      <c r="Q157" s="327"/>
      <c r="R157" s="327"/>
      <c r="S157" s="327"/>
      <c r="T157" s="327"/>
      <c r="U157" s="327"/>
    </row>
    <row r="158" spans="2:21">
      <c r="B158" s="667">
        <v>8966</v>
      </c>
      <c r="C158" s="668" t="s">
        <v>1072</v>
      </c>
      <c r="D158" s="669" t="s">
        <v>602</v>
      </c>
      <c r="E158" s="669"/>
      <c r="F158" s="670"/>
      <c r="G158" s="604"/>
      <c r="H158" s="605"/>
      <c r="I158" s="605"/>
      <c r="J158" s="489"/>
      <c r="K158" s="326"/>
      <c r="P158" s="327"/>
      <c r="Q158" s="327"/>
      <c r="R158" s="327"/>
      <c r="S158" s="327"/>
      <c r="T158" s="327"/>
      <c r="U158" s="327"/>
    </row>
    <row r="159" spans="2:21">
      <c r="B159" s="667">
        <v>9001</v>
      </c>
      <c r="C159" s="668" t="s">
        <v>1145</v>
      </c>
      <c r="D159" s="669"/>
      <c r="E159" s="669"/>
      <c r="F159" s="670"/>
      <c r="G159" s="604"/>
      <c r="H159" s="605"/>
      <c r="I159" s="605"/>
      <c r="J159" s="489"/>
      <c r="K159" s="326"/>
      <c r="P159" s="327"/>
      <c r="Q159" s="327"/>
      <c r="R159" s="327"/>
      <c r="S159" s="327"/>
      <c r="T159" s="327"/>
      <c r="U159" s="327"/>
    </row>
    <row r="160" spans="2:21">
      <c r="B160" s="667">
        <v>9003</v>
      </c>
      <c r="C160" s="668" t="s">
        <v>1155</v>
      </c>
      <c r="D160" s="669"/>
      <c r="E160" s="671"/>
      <c r="F160" s="670"/>
      <c r="G160" s="604"/>
      <c r="H160" s="605"/>
      <c r="I160" s="605"/>
      <c r="J160" s="489"/>
      <c r="K160" s="326"/>
      <c r="P160" s="327"/>
      <c r="Q160" s="327"/>
      <c r="R160" s="327"/>
      <c r="S160" s="327"/>
      <c r="T160" s="327"/>
      <c r="U160" s="327"/>
    </row>
    <row r="161" spans="2:21">
      <c r="B161" s="667">
        <v>9072</v>
      </c>
      <c r="C161" s="668" t="s">
        <v>1073</v>
      </c>
      <c r="D161" s="669"/>
      <c r="E161" s="669"/>
      <c r="F161" s="670"/>
      <c r="G161" s="604"/>
      <c r="H161" s="605"/>
      <c r="I161" s="605"/>
      <c r="J161" s="489"/>
      <c r="K161" s="326"/>
      <c r="P161" s="327"/>
      <c r="Q161" s="327"/>
      <c r="R161" s="327"/>
      <c r="S161" s="327"/>
      <c r="T161" s="327"/>
      <c r="U161" s="327"/>
    </row>
    <row r="162" spans="2:21">
      <c r="B162" s="667">
        <v>9107</v>
      </c>
      <c r="C162" s="668" t="s">
        <v>1031</v>
      </c>
      <c r="D162" s="669"/>
      <c r="E162" s="671"/>
      <c r="F162" s="670"/>
      <c r="G162" s="604"/>
      <c r="H162" s="605"/>
      <c r="I162" s="605"/>
      <c r="J162" s="489"/>
      <c r="K162" s="326"/>
      <c r="P162" s="327"/>
      <c r="Q162" s="327"/>
      <c r="R162" s="327"/>
      <c r="S162" s="327"/>
      <c r="T162" s="327"/>
      <c r="U162" s="327"/>
    </row>
    <row r="163" spans="2:21">
      <c r="B163" s="667">
        <v>9167</v>
      </c>
      <c r="C163" s="668" t="s">
        <v>1087</v>
      </c>
      <c r="D163" s="669"/>
      <c r="E163" s="671"/>
      <c r="F163" s="670"/>
      <c r="G163" s="604"/>
      <c r="H163" s="605"/>
      <c r="I163" s="605"/>
      <c r="J163" s="489"/>
      <c r="K163" s="326"/>
      <c r="P163" s="327"/>
      <c r="Q163" s="327"/>
      <c r="R163" s="327"/>
      <c r="S163" s="327"/>
      <c r="T163" s="327"/>
      <c r="U163" s="327"/>
    </row>
    <row r="164" spans="2:21">
      <c r="B164" s="667">
        <v>9171</v>
      </c>
      <c r="C164" s="668" t="s">
        <v>1048</v>
      </c>
      <c r="D164" s="669"/>
      <c r="E164" s="669"/>
      <c r="F164" s="670"/>
      <c r="G164" s="604"/>
      <c r="H164" s="605"/>
      <c r="I164" s="605"/>
      <c r="J164" s="489"/>
      <c r="K164" s="326"/>
      <c r="P164" s="327"/>
      <c r="Q164" s="327"/>
      <c r="R164" s="327"/>
      <c r="S164" s="327"/>
      <c r="T164" s="327"/>
      <c r="U164" s="327"/>
    </row>
    <row r="165" spans="2:21">
      <c r="B165" s="667">
        <v>9256</v>
      </c>
      <c r="C165" s="668" t="s">
        <v>1140</v>
      </c>
      <c r="D165" s="669" t="s">
        <v>602</v>
      </c>
      <c r="E165" s="669"/>
      <c r="F165" s="670"/>
      <c r="G165" s="604"/>
      <c r="H165" s="605"/>
      <c r="I165" s="605"/>
      <c r="J165" s="489"/>
      <c r="K165" s="326"/>
      <c r="P165" s="327"/>
      <c r="Q165" s="327"/>
      <c r="R165" s="327"/>
      <c r="S165" s="327"/>
      <c r="T165" s="327"/>
      <c r="U165" s="327"/>
    </row>
    <row r="166" spans="2:21">
      <c r="B166" s="667">
        <v>9260</v>
      </c>
      <c r="C166" s="668" t="s">
        <v>1037</v>
      </c>
      <c r="D166" s="669" t="s">
        <v>240</v>
      </c>
      <c r="E166" s="669"/>
      <c r="F166" s="670"/>
      <c r="G166" s="604"/>
      <c r="H166" s="605"/>
      <c r="I166" s="605"/>
      <c r="J166" s="489"/>
      <c r="K166" s="326"/>
      <c r="P166" s="327"/>
      <c r="Q166" s="327"/>
      <c r="R166" s="327"/>
      <c r="S166" s="327"/>
      <c r="T166" s="327"/>
      <c r="U166" s="327"/>
    </row>
    <row r="167" spans="2:21">
      <c r="B167" s="667">
        <v>9261</v>
      </c>
      <c r="C167" s="668" t="s">
        <v>1036</v>
      </c>
      <c r="D167" s="669" t="s">
        <v>240</v>
      </c>
      <c r="E167" s="672"/>
      <c r="F167" s="670"/>
      <c r="G167" s="604"/>
      <c r="H167" s="605"/>
      <c r="I167" s="605"/>
      <c r="J167" s="489"/>
      <c r="K167" s="326"/>
      <c r="P167" s="327"/>
      <c r="Q167" s="327"/>
      <c r="R167" s="327"/>
      <c r="S167" s="327"/>
      <c r="T167" s="327"/>
      <c r="U167" s="327"/>
    </row>
    <row r="168" spans="2:21">
      <c r="B168" s="667">
        <v>9383</v>
      </c>
      <c r="C168" s="668" t="s">
        <v>1116</v>
      </c>
      <c r="D168" s="669"/>
      <c r="E168" s="672"/>
      <c r="F168" s="670"/>
      <c r="G168" s="604"/>
      <c r="H168" s="605"/>
      <c r="I168" s="605"/>
      <c r="J168" s="489"/>
      <c r="K168" s="326"/>
      <c r="P168" s="327"/>
      <c r="Q168" s="327"/>
      <c r="R168" s="327"/>
      <c r="S168" s="327"/>
      <c r="T168" s="327"/>
      <c r="U168" s="327"/>
    </row>
    <row r="169" spans="2:21">
      <c r="B169" s="667">
        <v>9414</v>
      </c>
      <c r="C169" s="668" t="s">
        <v>1025</v>
      </c>
      <c r="D169" s="669"/>
      <c r="E169" s="672"/>
      <c r="F169" s="670"/>
      <c r="G169" s="604"/>
      <c r="H169" s="605"/>
      <c r="I169" s="605"/>
      <c r="J169" s="326"/>
      <c r="K169" s="326"/>
      <c r="P169" s="327"/>
      <c r="Q169" s="327"/>
      <c r="R169" s="327"/>
      <c r="S169" s="327"/>
      <c r="T169" s="327"/>
      <c r="U169" s="327"/>
    </row>
    <row r="170" spans="2:21">
      <c r="B170" s="667">
        <v>9436</v>
      </c>
      <c r="C170" s="668" t="s">
        <v>1061</v>
      </c>
      <c r="D170" s="669" t="s">
        <v>602</v>
      </c>
      <c r="E170" s="672"/>
      <c r="F170" s="670"/>
      <c r="G170" s="604"/>
      <c r="H170" s="605"/>
      <c r="I170" s="605"/>
      <c r="J170" s="489"/>
      <c r="K170" s="326"/>
      <c r="P170" s="327"/>
      <c r="Q170" s="327"/>
      <c r="R170" s="327"/>
      <c r="S170" s="327"/>
      <c r="T170" s="327"/>
      <c r="U170" s="327"/>
    </row>
    <row r="171" spans="2:21">
      <c r="B171" s="667">
        <v>9502</v>
      </c>
      <c r="C171" s="668" t="s">
        <v>1124</v>
      </c>
      <c r="D171" s="669" t="s">
        <v>602</v>
      </c>
      <c r="E171" s="669"/>
      <c r="F171" s="670"/>
      <c r="G171" s="604"/>
      <c r="H171" s="605"/>
      <c r="I171" s="605"/>
      <c r="J171" s="489"/>
      <c r="K171" s="326"/>
      <c r="P171" s="327"/>
      <c r="Q171" s="327"/>
      <c r="R171" s="327"/>
      <c r="S171" s="327"/>
      <c r="T171" s="327"/>
      <c r="U171" s="327"/>
    </row>
    <row r="172" spans="2:21">
      <c r="B172" s="667">
        <v>9503</v>
      </c>
      <c r="C172" s="668" t="s">
        <v>1019</v>
      </c>
      <c r="D172" s="669" t="s">
        <v>602</v>
      </c>
      <c r="E172" s="669"/>
      <c r="F172" s="670"/>
      <c r="G172" s="604"/>
      <c r="H172" s="605"/>
      <c r="I172" s="605"/>
      <c r="J172" s="489"/>
      <c r="K172" s="326"/>
      <c r="P172" s="327"/>
      <c r="Q172" s="327"/>
      <c r="R172" s="327"/>
      <c r="S172" s="327"/>
      <c r="T172" s="327"/>
      <c r="U172" s="327"/>
    </row>
    <row r="173" spans="2:21">
      <c r="B173" s="667">
        <v>9530</v>
      </c>
      <c r="C173" s="668" t="s">
        <v>1115</v>
      </c>
      <c r="D173" s="669" t="s">
        <v>602</v>
      </c>
      <c r="E173" s="671"/>
      <c r="F173" s="670"/>
      <c r="G173" s="604"/>
      <c r="H173" s="605"/>
      <c r="I173" s="605"/>
      <c r="J173" s="489"/>
      <c r="K173" s="326"/>
      <c r="P173" s="327"/>
      <c r="Q173" s="327"/>
      <c r="R173" s="327"/>
      <c r="S173" s="327"/>
      <c r="T173" s="327"/>
      <c r="U173" s="327"/>
    </row>
    <row r="174" spans="2:21">
      <c r="B174" s="667">
        <v>9534</v>
      </c>
      <c r="C174" s="668" t="s">
        <v>1150</v>
      </c>
      <c r="D174" s="669" t="s">
        <v>602</v>
      </c>
      <c r="E174" s="671"/>
      <c r="F174" s="670"/>
      <c r="G174" s="604"/>
      <c r="H174" s="605"/>
      <c r="I174" s="605"/>
      <c r="J174" s="489"/>
      <c r="K174" s="326"/>
      <c r="P174" s="327"/>
      <c r="Q174" s="327"/>
      <c r="R174" s="327"/>
      <c r="S174" s="327"/>
      <c r="T174" s="327"/>
      <c r="U174" s="327"/>
    </row>
    <row r="175" spans="2:21">
      <c r="B175" s="667">
        <v>9560</v>
      </c>
      <c r="C175" s="668" t="s">
        <v>1082</v>
      </c>
      <c r="D175" s="669"/>
      <c r="E175" s="669"/>
      <c r="F175" s="670"/>
      <c r="G175" s="604"/>
      <c r="H175" s="605"/>
      <c r="I175" s="605"/>
      <c r="J175" s="489"/>
      <c r="K175" s="326"/>
      <c r="P175" s="327"/>
      <c r="Q175" s="327"/>
      <c r="R175" s="327"/>
      <c r="S175" s="327"/>
      <c r="T175" s="327"/>
      <c r="U175" s="327"/>
    </row>
    <row r="176" spans="2:21">
      <c r="B176" s="667">
        <v>9584</v>
      </c>
      <c r="C176" s="668" t="s">
        <v>1056</v>
      </c>
      <c r="D176" s="669" t="s">
        <v>231</v>
      </c>
      <c r="E176" s="669"/>
      <c r="F176" s="670"/>
      <c r="G176" s="604"/>
      <c r="H176" s="605"/>
      <c r="I176" s="605"/>
      <c r="J176" s="489"/>
      <c r="K176" s="326"/>
      <c r="P176" s="327"/>
      <c r="Q176" s="327"/>
      <c r="R176" s="327"/>
      <c r="S176" s="327"/>
      <c r="T176" s="327"/>
      <c r="U176" s="327"/>
    </row>
    <row r="177" spans="2:21">
      <c r="B177" s="667">
        <v>9982</v>
      </c>
      <c r="C177" s="668" t="s">
        <v>1076</v>
      </c>
      <c r="D177" s="669" t="s">
        <v>602</v>
      </c>
      <c r="E177" s="669"/>
      <c r="F177" s="670"/>
      <c r="G177" s="604"/>
      <c r="H177" s="605"/>
      <c r="I177" s="605"/>
      <c r="J177" s="489"/>
      <c r="K177" s="326"/>
      <c r="P177" s="327"/>
      <c r="Q177" s="327"/>
      <c r="R177" s="327"/>
      <c r="S177" s="327"/>
      <c r="T177" s="327"/>
      <c r="U177" s="327"/>
    </row>
    <row r="178" spans="2:21">
      <c r="B178" s="667">
        <v>10144</v>
      </c>
      <c r="C178" s="668" t="s">
        <v>1074</v>
      </c>
      <c r="D178" s="669" t="s">
        <v>602</v>
      </c>
      <c r="E178" s="669"/>
      <c r="F178" s="670"/>
      <c r="G178" s="604"/>
      <c r="H178" s="605"/>
      <c r="I178" s="605"/>
      <c r="J178" s="489"/>
      <c r="K178" s="326"/>
      <c r="P178" s="327"/>
      <c r="Q178" s="327"/>
      <c r="R178" s="327"/>
      <c r="S178" s="327"/>
      <c r="T178" s="327"/>
      <c r="U178" s="327"/>
    </row>
    <row r="179" spans="2:21">
      <c r="B179" s="667">
        <v>10176</v>
      </c>
      <c r="C179" s="668" t="s">
        <v>1158</v>
      </c>
      <c r="D179" s="669" t="s">
        <v>231</v>
      </c>
      <c r="E179" s="669"/>
      <c r="F179" s="670"/>
      <c r="G179" s="604"/>
      <c r="H179" s="605"/>
      <c r="I179" s="605"/>
      <c r="J179" s="489"/>
      <c r="K179" s="326"/>
      <c r="P179" s="327"/>
      <c r="Q179" s="327"/>
      <c r="R179" s="327"/>
      <c r="S179" s="327"/>
      <c r="T179" s="327"/>
      <c r="U179" s="327"/>
    </row>
    <row r="180" spans="2:21">
      <c r="B180" s="667">
        <v>10213</v>
      </c>
      <c r="C180" s="668" t="s">
        <v>1086</v>
      </c>
      <c r="D180" s="669" t="s">
        <v>602</v>
      </c>
      <c r="E180" s="669"/>
      <c r="F180" s="670"/>
      <c r="G180" s="604"/>
      <c r="H180" s="605"/>
      <c r="I180" s="605"/>
      <c r="J180" s="489"/>
      <c r="K180" s="326"/>
      <c r="P180" s="327"/>
      <c r="Q180" s="327"/>
      <c r="R180" s="327"/>
      <c r="S180" s="327"/>
      <c r="T180" s="327"/>
      <c r="U180" s="327"/>
    </row>
    <row r="181" spans="2:21">
      <c r="B181" s="667">
        <v>10235</v>
      </c>
      <c r="C181" s="668" t="s">
        <v>1032</v>
      </c>
      <c r="D181" s="669" t="s">
        <v>602</v>
      </c>
      <c r="E181" s="671"/>
      <c r="F181" s="670"/>
      <c r="G181" s="604"/>
      <c r="H181" s="605"/>
      <c r="I181" s="605"/>
      <c r="J181" s="489"/>
      <c r="K181" s="326"/>
      <c r="P181" s="327"/>
      <c r="Q181" s="327"/>
      <c r="R181" s="327"/>
      <c r="S181" s="327"/>
      <c r="T181" s="327"/>
      <c r="U181" s="327"/>
    </row>
    <row r="182" spans="2:21">
      <c r="B182" s="667">
        <v>10428</v>
      </c>
      <c r="C182" s="668" t="s">
        <v>1156</v>
      </c>
      <c r="D182" s="669" t="s">
        <v>240</v>
      </c>
      <c r="E182" s="671"/>
      <c r="F182" s="670"/>
      <c r="G182" s="604"/>
      <c r="H182" s="605"/>
      <c r="I182" s="605"/>
      <c r="J182" s="489"/>
      <c r="K182" s="326"/>
      <c r="P182" s="327"/>
      <c r="Q182" s="327"/>
      <c r="R182" s="327"/>
      <c r="S182" s="327"/>
      <c r="T182" s="327"/>
      <c r="U182" s="327"/>
    </row>
    <row r="183" spans="2:21">
      <c r="B183" s="667">
        <v>10674</v>
      </c>
      <c r="C183" s="668" t="s">
        <v>1127</v>
      </c>
      <c r="D183" s="669" t="s">
        <v>602</v>
      </c>
      <c r="E183" s="669"/>
      <c r="F183" s="670"/>
      <c r="G183" s="604"/>
      <c r="H183" s="605"/>
      <c r="I183" s="605"/>
      <c r="J183" s="489"/>
      <c r="K183" s="326"/>
      <c r="P183" s="327"/>
      <c r="Q183" s="327"/>
      <c r="R183" s="327"/>
      <c r="S183" s="327"/>
      <c r="T183" s="327"/>
      <c r="U183" s="327"/>
    </row>
    <row r="184" spans="2:21">
      <c r="B184" s="667">
        <v>10681</v>
      </c>
      <c r="C184" s="668" t="s">
        <v>1128</v>
      </c>
      <c r="D184" s="669" t="s">
        <v>602</v>
      </c>
      <c r="E184" s="669"/>
      <c r="F184" s="670"/>
      <c r="G184" s="604"/>
      <c r="H184" s="605"/>
      <c r="I184" s="605"/>
      <c r="J184" s="489"/>
      <c r="K184" s="326"/>
      <c r="P184" s="327"/>
      <c r="Q184" s="327"/>
      <c r="R184" s="327"/>
      <c r="S184" s="327"/>
      <c r="T184" s="327"/>
      <c r="U184" s="327"/>
    </row>
    <row r="185" spans="2:21">
      <c r="B185" s="667">
        <v>10859</v>
      </c>
      <c r="C185" s="668" t="s">
        <v>1039</v>
      </c>
      <c r="D185" s="669" t="s">
        <v>602</v>
      </c>
      <c r="E185" s="669"/>
      <c r="F185" s="670"/>
      <c r="G185" s="604"/>
      <c r="H185" s="605"/>
      <c r="I185" s="605"/>
      <c r="J185" s="489"/>
      <c r="K185" s="326"/>
      <c r="P185" s="327"/>
      <c r="Q185" s="327"/>
      <c r="R185" s="327"/>
      <c r="S185" s="327"/>
      <c r="T185" s="327"/>
      <c r="U185" s="327"/>
    </row>
    <row r="186" spans="2:21">
      <c r="B186" s="667">
        <v>11182</v>
      </c>
      <c r="C186" s="668" t="s">
        <v>1053</v>
      </c>
      <c r="D186" s="669"/>
      <c r="E186" s="669"/>
      <c r="F186" s="670"/>
      <c r="G186" s="604"/>
      <c r="H186" s="605"/>
      <c r="I186" s="605"/>
      <c r="J186" s="489"/>
      <c r="K186" s="326"/>
      <c r="P186" s="327"/>
      <c r="Q186" s="327"/>
      <c r="R186" s="327"/>
      <c r="S186" s="327"/>
      <c r="T186" s="327"/>
      <c r="U186" s="327"/>
    </row>
    <row r="187" spans="2:21">
      <c r="B187" s="667">
        <v>11318</v>
      </c>
      <c r="C187" s="668" t="s">
        <v>1055</v>
      </c>
      <c r="D187" s="669"/>
      <c r="E187" s="669"/>
      <c r="F187" s="670"/>
      <c r="G187" s="604"/>
      <c r="H187" s="605"/>
      <c r="I187" s="605"/>
      <c r="J187" s="489"/>
      <c r="K187" s="326"/>
      <c r="P187" s="327"/>
      <c r="Q187" s="327"/>
      <c r="R187" s="327"/>
      <c r="S187" s="327"/>
      <c r="T187" s="327"/>
      <c r="U187" s="327"/>
    </row>
    <row r="188" spans="2:21">
      <c r="B188" s="667">
        <v>11357</v>
      </c>
      <c r="C188" s="668" t="s">
        <v>1041</v>
      </c>
      <c r="D188" s="669" t="s">
        <v>240</v>
      </c>
      <c r="E188" s="669"/>
      <c r="F188" s="670"/>
      <c r="G188" s="604"/>
      <c r="H188" s="605"/>
      <c r="I188" s="605"/>
      <c r="J188" s="489"/>
      <c r="K188" s="326"/>
      <c r="P188" s="327"/>
      <c r="Q188" s="327"/>
      <c r="R188" s="327"/>
      <c r="S188" s="327"/>
      <c r="T188" s="327"/>
      <c r="U188" s="327"/>
    </row>
    <row r="189" spans="2:21">
      <c r="B189" s="667">
        <v>11488</v>
      </c>
      <c r="C189" s="668" t="s">
        <v>1102</v>
      </c>
      <c r="D189" s="669" t="s">
        <v>602</v>
      </c>
      <c r="E189" s="669"/>
      <c r="F189" s="670"/>
      <c r="G189" s="604"/>
      <c r="H189" s="605"/>
      <c r="I189" s="605"/>
      <c r="J189" s="489"/>
      <c r="K189" s="326"/>
      <c r="P189" s="327"/>
      <c r="Q189" s="327"/>
      <c r="R189" s="327"/>
      <c r="S189" s="327"/>
      <c r="T189" s="327"/>
      <c r="U189" s="327"/>
    </row>
    <row r="190" spans="2:21">
      <c r="B190" s="667">
        <v>11498</v>
      </c>
      <c r="C190" s="668" t="s">
        <v>1106</v>
      </c>
      <c r="D190" s="669" t="s">
        <v>602</v>
      </c>
      <c r="E190" s="671"/>
      <c r="F190" s="670"/>
      <c r="G190" s="604"/>
      <c r="H190" s="605"/>
      <c r="I190" s="605"/>
      <c r="J190" s="489"/>
      <c r="K190" s="326"/>
      <c r="P190" s="327"/>
      <c r="Q190" s="327"/>
      <c r="R190" s="327"/>
      <c r="S190" s="327"/>
      <c r="T190" s="327"/>
      <c r="U190" s="327"/>
    </row>
    <row r="191" spans="2:21">
      <c r="B191" s="667">
        <v>11500</v>
      </c>
      <c r="C191" s="668" t="s">
        <v>1113</v>
      </c>
      <c r="D191" s="669" t="s">
        <v>602</v>
      </c>
      <c r="E191" s="671"/>
      <c r="F191" s="670"/>
      <c r="G191" s="604"/>
      <c r="H191" s="605"/>
      <c r="I191" s="605"/>
      <c r="J191" s="513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</row>
    <row r="192" spans="2:21">
      <c r="B192" s="667">
        <v>11502</v>
      </c>
      <c r="C192" s="668" t="s">
        <v>1110</v>
      </c>
      <c r="D192" s="669" t="s">
        <v>602</v>
      </c>
      <c r="E192" s="671"/>
      <c r="F192" s="670"/>
      <c r="G192" s="604"/>
      <c r="H192" s="605"/>
      <c r="I192" s="605"/>
      <c r="J192" s="489"/>
      <c r="K192" s="326"/>
      <c r="P192" s="327"/>
      <c r="Q192" s="327"/>
      <c r="R192" s="327"/>
      <c r="S192" s="327"/>
      <c r="T192" s="327"/>
      <c r="U192" s="327"/>
    </row>
    <row r="193" spans="2:21">
      <c r="B193" s="667">
        <v>11579</v>
      </c>
      <c r="C193" s="668" t="s">
        <v>1108</v>
      </c>
      <c r="D193" s="669" t="s">
        <v>602</v>
      </c>
      <c r="E193" s="669"/>
      <c r="F193" s="670"/>
      <c r="G193" s="604"/>
      <c r="H193" s="605"/>
      <c r="I193" s="605"/>
      <c r="J193" s="489"/>
      <c r="K193" s="326"/>
      <c r="P193" s="327"/>
      <c r="Q193" s="327"/>
      <c r="R193" s="327"/>
      <c r="S193" s="327"/>
      <c r="T193" s="327"/>
      <c r="U193" s="327"/>
    </row>
    <row r="194" spans="2:21">
      <c r="B194" s="667">
        <v>11580</v>
      </c>
      <c r="C194" s="668" t="s">
        <v>1097</v>
      </c>
      <c r="D194" s="669" t="s">
        <v>602</v>
      </c>
      <c r="E194" s="671"/>
      <c r="F194" s="670"/>
      <c r="G194" s="604"/>
      <c r="H194" s="605"/>
      <c r="I194" s="605"/>
      <c r="J194" s="489"/>
      <c r="K194" s="326"/>
      <c r="P194" s="327"/>
      <c r="Q194" s="327"/>
      <c r="R194" s="327"/>
      <c r="S194" s="327"/>
      <c r="T194" s="327"/>
      <c r="U194" s="327"/>
    </row>
    <row r="195" spans="2:21">
      <c r="B195" s="667">
        <v>11581</v>
      </c>
      <c r="C195" s="668" t="s">
        <v>1104</v>
      </c>
      <c r="D195" s="669" t="s">
        <v>602</v>
      </c>
      <c r="E195" s="669"/>
      <c r="F195" s="670"/>
      <c r="G195" s="604"/>
      <c r="H195" s="605"/>
      <c r="I195" s="605"/>
      <c r="J195" s="489"/>
      <c r="K195" s="326"/>
      <c r="P195" s="327"/>
      <c r="Q195" s="327"/>
      <c r="R195" s="327"/>
      <c r="S195" s="327"/>
      <c r="T195" s="327"/>
      <c r="U195" s="327"/>
    </row>
    <row r="196" spans="2:21">
      <c r="B196" s="667">
        <v>11582</v>
      </c>
      <c r="C196" s="668" t="s">
        <v>1111</v>
      </c>
      <c r="D196" s="669" t="s">
        <v>602</v>
      </c>
      <c r="E196" s="669"/>
      <c r="F196" s="670"/>
      <c r="G196" s="604"/>
      <c r="H196" s="605"/>
      <c r="I196" s="605"/>
      <c r="J196" s="489"/>
      <c r="K196" s="326"/>
      <c r="P196" s="327"/>
      <c r="Q196" s="327"/>
      <c r="R196" s="327"/>
      <c r="S196" s="327"/>
      <c r="T196" s="327"/>
      <c r="U196" s="327"/>
    </row>
    <row r="197" spans="2:21">
      <c r="B197" s="667">
        <v>11583</v>
      </c>
      <c r="C197" s="668" t="s">
        <v>1095</v>
      </c>
      <c r="D197" s="669" t="s">
        <v>602</v>
      </c>
      <c r="E197" s="669"/>
      <c r="F197" s="670"/>
      <c r="G197" s="604"/>
      <c r="H197" s="605"/>
      <c r="I197" s="605"/>
      <c r="J197" s="489"/>
      <c r="K197" s="326"/>
      <c r="P197" s="327"/>
      <c r="Q197" s="327"/>
      <c r="R197" s="327"/>
      <c r="S197" s="327"/>
      <c r="T197" s="327"/>
      <c r="U197" s="327"/>
    </row>
    <row r="198" spans="2:21">
      <c r="B198" s="667">
        <v>11584</v>
      </c>
      <c r="C198" s="668" t="s">
        <v>1099</v>
      </c>
      <c r="D198" s="669" t="s">
        <v>602</v>
      </c>
      <c r="E198" s="669"/>
      <c r="F198" s="670"/>
      <c r="G198" s="604"/>
      <c r="H198" s="605"/>
      <c r="I198" s="605"/>
      <c r="J198" s="489"/>
      <c r="K198" s="326"/>
      <c r="P198" s="327"/>
      <c r="Q198" s="327"/>
      <c r="R198" s="327"/>
      <c r="S198" s="327"/>
      <c r="T198" s="327"/>
      <c r="U198" s="327"/>
    </row>
    <row r="199" spans="2:21">
      <c r="B199" s="667">
        <v>11591</v>
      </c>
      <c r="C199" s="668" t="s">
        <v>1083</v>
      </c>
      <c r="D199" s="669"/>
      <c r="E199" s="669"/>
      <c r="F199" s="670"/>
      <c r="G199" s="604"/>
      <c r="H199" s="605"/>
      <c r="I199" s="605"/>
      <c r="J199" s="489"/>
      <c r="K199" s="326"/>
      <c r="P199" s="327"/>
      <c r="Q199" s="327"/>
      <c r="R199" s="327"/>
      <c r="S199" s="327"/>
      <c r="T199" s="327"/>
      <c r="U199" s="327"/>
    </row>
    <row r="200" spans="2:21">
      <c r="B200" s="667">
        <v>11596</v>
      </c>
      <c r="C200" s="668" t="s">
        <v>1112</v>
      </c>
      <c r="D200" s="669" t="s">
        <v>602</v>
      </c>
      <c r="E200" s="669"/>
      <c r="F200" s="670"/>
      <c r="G200" s="604"/>
      <c r="H200" s="605"/>
      <c r="I200" s="605"/>
      <c r="J200" s="489"/>
      <c r="K200" s="326"/>
      <c r="P200" s="327"/>
      <c r="Q200" s="327"/>
      <c r="R200" s="327"/>
      <c r="S200" s="327"/>
      <c r="T200" s="327"/>
      <c r="U200" s="327"/>
    </row>
    <row r="201" spans="2:21">
      <c r="B201" s="667">
        <v>11597</v>
      </c>
      <c r="C201" s="668" t="s">
        <v>1109</v>
      </c>
      <c r="D201" s="669" t="s">
        <v>602</v>
      </c>
      <c r="E201" s="671"/>
      <c r="F201" s="670"/>
      <c r="G201" s="604"/>
      <c r="H201" s="605"/>
      <c r="I201" s="605"/>
      <c r="J201" s="489"/>
      <c r="K201" s="326"/>
      <c r="P201" s="327"/>
      <c r="Q201" s="327"/>
      <c r="R201" s="327"/>
      <c r="S201" s="327"/>
      <c r="T201" s="327"/>
      <c r="U201" s="327"/>
    </row>
    <row r="202" spans="2:21">
      <c r="B202" s="667">
        <v>11598</v>
      </c>
      <c r="C202" s="668" t="s">
        <v>1105</v>
      </c>
      <c r="D202" s="669" t="s">
        <v>602</v>
      </c>
      <c r="E202" s="669"/>
      <c r="F202" s="670"/>
      <c r="G202" s="604"/>
      <c r="H202" s="605"/>
      <c r="I202" s="605"/>
      <c r="J202" s="489"/>
      <c r="K202" s="326"/>
      <c r="P202" s="327"/>
      <c r="Q202" s="327"/>
      <c r="R202" s="327"/>
      <c r="S202" s="327"/>
      <c r="T202" s="327"/>
      <c r="U202" s="327"/>
    </row>
    <row r="203" spans="2:21">
      <c r="B203" s="667">
        <v>11599</v>
      </c>
      <c r="C203" s="668" t="s">
        <v>1103</v>
      </c>
      <c r="D203" s="669" t="s">
        <v>602</v>
      </c>
      <c r="E203" s="671"/>
      <c r="F203" s="670"/>
      <c r="G203" s="604"/>
      <c r="H203" s="605"/>
      <c r="I203" s="605"/>
      <c r="J203" s="489"/>
      <c r="K203" s="326"/>
      <c r="P203" s="327"/>
      <c r="Q203" s="327"/>
      <c r="R203" s="327"/>
      <c r="S203" s="327"/>
      <c r="T203" s="327"/>
      <c r="U203" s="327"/>
    </row>
    <row r="204" spans="2:21">
      <c r="B204" s="667">
        <v>11600</v>
      </c>
      <c r="C204" s="668" t="s">
        <v>1101</v>
      </c>
      <c r="D204" s="669" t="s">
        <v>602</v>
      </c>
      <c r="E204" s="671"/>
      <c r="F204" s="670"/>
      <c r="G204" s="604"/>
      <c r="H204" s="605"/>
      <c r="I204" s="605"/>
      <c r="J204" s="489"/>
      <c r="K204" s="326"/>
      <c r="P204" s="327"/>
      <c r="Q204" s="327"/>
      <c r="R204" s="327"/>
      <c r="S204" s="327"/>
      <c r="T204" s="327"/>
      <c r="U204" s="327"/>
    </row>
    <row r="205" spans="2:21">
      <c r="B205" s="667">
        <v>11601</v>
      </c>
      <c r="C205" s="668" t="s">
        <v>1100</v>
      </c>
      <c r="D205" s="669" t="s">
        <v>602</v>
      </c>
      <c r="E205" s="669"/>
      <c r="F205" s="670"/>
      <c r="G205" s="604"/>
      <c r="H205" s="605"/>
      <c r="I205" s="605"/>
      <c r="J205" s="489"/>
      <c r="K205" s="326"/>
      <c r="P205" s="327"/>
      <c r="Q205" s="327"/>
      <c r="R205" s="327"/>
      <c r="S205" s="327"/>
      <c r="T205" s="327"/>
      <c r="U205" s="327"/>
    </row>
    <row r="206" spans="2:21">
      <c r="B206" s="667">
        <v>11602</v>
      </c>
      <c r="C206" s="668" t="s">
        <v>1098</v>
      </c>
      <c r="D206" s="669" t="s">
        <v>602</v>
      </c>
      <c r="E206" s="669"/>
      <c r="F206" s="670"/>
      <c r="G206" s="604"/>
      <c r="H206" s="605"/>
      <c r="I206" s="605"/>
      <c r="J206" s="489"/>
      <c r="K206" s="326"/>
      <c r="P206" s="327"/>
      <c r="Q206" s="327"/>
      <c r="R206" s="327"/>
      <c r="S206" s="327"/>
      <c r="T206" s="327"/>
      <c r="U206" s="327"/>
    </row>
    <row r="207" spans="2:21">
      <c r="B207" s="667">
        <v>11603</v>
      </c>
      <c r="C207" s="668" t="s">
        <v>1096</v>
      </c>
      <c r="D207" s="669" t="s">
        <v>602</v>
      </c>
      <c r="E207" s="669"/>
      <c r="F207" s="670"/>
      <c r="G207" s="604"/>
      <c r="H207" s="605"/>
      <c r="I207" s="605"/>
      <c r="J207" s="489"/>
      <c r="K207" s="326"/>
      <c r="P207" s="327"/>
      <c r="Q207" s="327"/>
      <c r="R207" s="327"/>
      <c r="S207" s="327"/>
      <c r="T207" s="327"/>
      <c r="U207" s="327"/>
    </row>
    <row r="208" spans="2:21">
      <c r="B208" s="667">
        <v>11672</v>
      </c>
      <c r="C208" s="668" t="s">
        <v>1030</v>
      </c>
      <c r="D208" s="669" t="s">
        <v>602</v>
      </c>
      <c r="E208" s="669"/>
      <c r="F208" s="670"/>
      <c r="G208" s="604"/>
      <c r="H208" s="605"/>
      <c r="I208" s="605"/>
      <c r="J208" s="489"/>
      <c r="K208" s="326"/>
      <c r="P208" s="327"/>
      <c r="Q208" s="327"/>
      <c r="R208" s="327"/>
      <c r="S208" s="327"/>
      <c r="T208" s="327"/>
      <c r="U208" s="327"/>
    </row>
    <row r="209" spans="2:21">
      <c r="B209" s="667">
        <v>11710</v>
      </c>
      <c r="C209" s="668" t="s">
        <v>1107</v>
      </c>
      <c r="D209" s="669" t="s">
        <v>602</v>
      </c>
      <c r="E209" s="671"/>
      <c r="F209" s="670"/>
      <c r="G209" s="604"/>
      <c r="H209" s="605"/>
      <c r="I209" s="605"/>
      <c r="J209" s="489"/>
      <c r="K209" s="326"/>
      <c r="P209" s="327"/>
      <c r="Q209" s="327"/>
      <c r="R209" s="327"/>
      <c r="S209" s="327"/>
      <c r="T209" s="327"/>
      <c r="U209" s="327"/>
    </row>
    <row r="210" spans="2:21">
      <c r="B210" s="667">
        <v>11779</v>
      </c>
      <c r="C210" s="668" t="s">
        <v>1134</v>
      </c>
      <c r="D210" s="669"/>
      <c r="E210" s="669"/>
      <c r="F210" s="670"/>
      <c r="G210" s="604"/>
      <c r="H210" s="605"/>
      <c r="I210" s="605"/>
      <c r="J210" s="489"/>
      <c r="K210" s="326"/>
      <c r="P210" s="327"/>
      <c r="Q210" s="327"/>
      <c r="R210" s="327"/>
      <c r="S210" s="327"/>
      <c r="T210" s="327"/>
      <c r="U210" s="327"/>
    </row>
    <row r="211" spans="2:21">
      <c r="B211" s="667">
        <v>11782</v>
      </c>
      <c r="C211" s="668" t="s">
        <v>1045</v>
      </c>
      <c r="D211" s="669" t="s">
        <v>8</v>
      </c>
      <c r="E211" s="671"/>
      <c r="F211" s="670"/>
      <c r="G211" s="604"/>
      <c r="H211" s="605"/>
      <c r="I211" s="605"/>
      <c r="J211" s="489"/>
      <c r="K211" s="326"/>
      <c r="P211" s="327"/>
      <c r="Q211" s="327"/>
      <c r="R211" s="327"/>
      <c r="S211" s="327"/>
      <c r="T211" s="327"/>
      <c r="U211" s="327"/>
    </row>
    <row r="212" spans="2:21">
      <c r="B212" s="667">
        <v>11858</v>
      </c>
      <c r="C212" s="668" t="s">
        <v>1159</v>
      </c>
      <c r="D212" s="669" t="s">
        <v>602</v>
      </c>
      <c r="E212" s="669"/>
      <c r="F212" s="670"/>
      <c r="G212" s="604"/>
      <c r="H212" s="605"/>
      <c r="I212" s="605"/>
      <c r="J212" s="489"/>
      <c r="K212" s="326"/>
      <c r="P212" s="327"/>
      <c r="Q212" s="327"/>
      <c r="R212" s="327"/>
      <c r="S212" s="327"/>
      <c r="T212" s="327"/>
      <c r="U212" s="327"/>
    </row>
    <row r="213" spans="2:21">
      <c r="B213" s="667">
        <v>99999</v>
      </c>
      <c r="C213" s="668" t="s">
        <v>433</v>
      </c>
      <c r="D213" s="669" t="s">
        <v>602</v>
      </c>
      <c r="E213" s="671"/>
      <c r="F213" s="670"/>
      <c r="G213" s="604"/>
      <c r="H213" s="605"/>
      <c r="I213" s="605"/>
      <c r="J213" s="489"/>
      <c r="K213" s="326"/>
      <c r="P213" s="327"/>
      <c r="Q213" s="327"/>
      <c r="R213" s="327"/>
      <c r="S213" s="327"/>
      <c r="T213" s="327"/>
      <c r="U213" s="327"/>
    </row>
    <row r="214" spans="2:21">
      <c r="B214" s="601"/>
      <c r="C214" s="602"/>
      <c r="D214" s="601"/>
      <c r="E214" s="327"/>
      <c r="F214" s="327"/>
      <c r="G214" s="604"/>
      <c r="H214" s="605"/>
      <c r="I214" s="605"/>
      <c r="J214" s="489"/>
      <c r="K214" s="326"/>
      <c r="P214" s="327"/>
      <c r="Q214" s="327"/>
      <c r="R214" s="327"/>
      <c r="S214" s="327"/>
      <c r="T214" s="327"/>
      <c r="U214" s="327"/>
    </row>
    <row r="215" spans="2:21">
      <c r="B215" s="601"/>
      <c r="C215" s="602"/>
      <c r="D215" s="601"/>
      <c r="E215" s="327"/>
      <c r="F215" s="327"/>
      <c r="G215" s="604"/>
      <c r="H215" s="605"/>
      <c r="I215" s="605"/>
      <c r="J215" s="489"/>
      <c r="K215" s="326"/>
      <c r="P215" s="327"/>
      <c r="Q215" s="327"/>
      <c r="R215" s="327"/>
      <c r="S215" s="327"/>
      <c r="T215" s="327"/>
      <c r="U215" s="327"/>
    </row>
    <row r="216" spans="2:21">
      <c r="B216" s="601"/>
      <c r="C216" s="602"/>
      <c r="D216" s="601"/>
      <c r="E216" s="327"/>
      <c r="F216" s="327"/>
      <c r="G216" s="604"/>
      <c r="H216" s="605"/>
      <c r="I216" s="605"/>
      <c r="J216" s="489"/>
      <c r="K216" s="326"/>
      <c r="P216" s="327"/>
      <c r="Q216" s="327"/>
      <c r="R216" s="327"/>
      <c r="S216" s="327"/>
      <c r="T216" s="327"/>
      <c r="U216" s="327"/>
    </row>
    <row r="217" spans="2:21">
      <c r="B217" s="601"/>
      <c r="C217" s="602"/>
      <c r="D217" s="601"/>
      <c r="E217" s="327"/>
      <c r="F217" s="327"/>
      <c r="G217" s="604"/>
      <c r="H217" s="605"/>
      <c r="I217" s="605"/>
      <c r="J217" s="489"/>
      <c r="K217" s="326"/>
      <c r="P217" s="327"/>
      <c r="Q217" s="327"/>
      <c r="R217" s="327"/>
      <c r="S217" s="327"/>
      <c r="T217" s="327"/>
      <c r="U217" s="327"/>
    </row>
    <row r="218" spans="2:21">
      <c r="B218" s="601"/>
      <c r="C218" s="602"/>
      <c r="D218" s="601"/>
      <c r="E218" s="327"/>
      <c r="F218" s="327"/>
      <c r="G218" s="604"/>
      <c r="H218" s="605"/>
      <c r="I218" s="605"/>
      <c r="J218" s="489"/>
      <c r="K218" s="326"/>
      <c r="P218" s="327"/>
      <c r="Q218" s="327"/>
      <c r="R218" s="327"/>
      <c r="S218" s="327"/>
      <c r="T218" s="327"/>
      <c r="U218" s="327"/>
    </row>
    <row r="219" spans="2:21">
      <c r="B219" s="601"/>
      <c r="C219" s="602"/>
      <c r="D219" s="601"/>
      <c r="E219" s="327"/>
      <c r="F219" s="327"/>
      <c r="G219" s="604"/>
      <c r="H219" s="605"/>
      <c r="I219" s="605"/>
      <c r="J219" s="489"/>
      <c r="K219" s="326"/>
      <c r="P219" s="327"/>
      <c r="Q219" s="327"/>
      <c r="R219" s="327"/>
      <c r="S219" s="327"/>
      <c r="T219" s="327"/>
      <c r="U219" s="327"/>
    </row>
    <row r="220" spans="2:21">
      <c r="B220" s="601"/>
      <c r="C220" s="602"/>
      <c r="D220" s="601"/>
      <c r="E220" s="327"/>
      <c r="F220" s="327"/>
      <c r="G220" s="604"/>
      <c r="H220" s="605"/>
      <c r="I220" s="605"/>
      <c r="J220" s="489"/>
      <c r="K220" s="326"/>
      <c r="P220" s="327"/>
      <c r="Q220" s="327"/>
      <c r="R220" s="327"/>
      <c r="S220" s="327"/>
      <c r="T220" s="327"/>
      <c r="U220" s="327"/>
    </row>
    <row r="221" spans="2:21">
      <c r="B221" s="601"/>
      <c r="C221" s="602"/>
      <c r="D221" s="601"/>
      <c r="E221" s="327"/>
      <c r="F221" s="327"/>
      <c r="G221" s="604"/>
      <c r="H221" s="605"/>
      <c r="I221" s="605"/>
      <c r="J221" s="489"/>
      <c r="K221" s="326"/>
      <c r="P221" s="327"/>
      <c r="Q221" s="327"/>
      <c r="R221" s="327"/>
      <c r="S221" s="327"/>
      <c r="T221" s="327"/>
      <c r="U221" s="327"/>
    </row>
    <row r="222" spans="2:21">
      <c r="B222" s="601"/>
      <c r="C222" s="602"/>
      <c r="D222" s="601"/>
      <c r="E222" s="327"/>
      <c r="F222" s="327"/>
      <c r="G222" s="604"/>
      <c r="H222" s="605"/>
      <c r="I222" s="605"/>
      <c r="J222" s="489"/>
      <c r="K222" s="326"/>
      <c r="P222" s="327"/>
      <c r="Q222" s="327"/>
      <c r="R222" s="327"/>
      <c r="S222" s="327"/>
      <c r="T222" s="327"/>
      <c r="U222" s="327"/>
    </row>
    <row r="223" spans="2:21">
      <c r="B223" s="601"/>
      <c r="C223" s="602"/>
      <c r="D223" s="601"/>
      <c r="E223" s="327"/>
      <c r="F223" s="327"/>
      <c r="G223" s="604"/>
      <c r="H223" s="605"/>
      <c r="I223" s="605"/>
      <c r="J223" s="489"/>
      <c r="K223" s="326"/>
      <c r="P223" s="327"/>
      <c r="Q223" s="327"/>
      <c r="R223" s="327"/>
      <c r="S223" s="327"/>
      <c r="T223" s="327"/>
      <c r="U223" s="327"/>
    </row>
    <row r="224" spans="2:21">
      <c r="B224" s="601"/>
      <c r="C224" s="602"/>
      <c r="D224" s="601"/>
      <c r="E224" s="327"/>
      <c r="F224" s="327"/>
      <c r="G224" s="604"/>
      <c r="H224" s="605"/>
      <c r="I224" s="605"/>
      <c r="J224" s="489"/>
      <c r="K224" s="326"/>
      <c r="P224" s="327"/>
      <c r="Q224" s="327"/>
      <c r="R224" s="327"/>
      <c r="S224" s="327"/>
      <c r="T224" s="327"/>
      <c r="U224" s="327"/>
    </row>
    <row r="225" spans="2:21">
      <c r="B225" s="601"/>
      <c r="C225" s="602"/>
      <c r="D225" s="601"/>
      <c r="E225" s="327"/>
      <c r="F225" s="327"/>
      <c r="G225" s="604"/>
      <c r="H225" s="605"/>
      <c r="I225" s="605"/>
      <c r="J225" s="489"/>
      <c r="K225" s="326"/>
      <c r="P225" s="327"/>
      <c r="Q225" s="327"/>
      <c r="R225" s="327"/>
      <c r="S225" s="327"/>
      <c r="T225" s="327"/>
      <c r="U225" s="327"/>
    </row>
    <row r="226" spans="2:21">
      <c r="B226" s="601"/>
      <c r="C226" s="602"/>
      <c r="D226" s="601"/>
      <c r="E226" s="327"/>
      <c r="F226" s="327"/>
      <c r="G226" s="604"/>
      <c r="H226" s="605"/>
      <c r="I226" s="605"/>
      <c r="J226" s="489"/>
      <c r="K226" s="326"/>
      <c r="P226" s="327"/>
      <c r="Q226" s="327"/>
      <c r="R226" s="327"/>
      <c r="S226" s="327"/>
      <c r="T226" s="327"/>
      <c r="U226" s="327"/>
    </row>
    <row r="227" spans="2:21">
      <c r="B227" s="601"/>
      <c r="C227" s="602"/>
      <c r="D227" s="601"/>
      <c r="E227" s="327"/>
      <c r="F227" s="327"/>
      <c r="G227" s="604"/>
      <c r="H227" s="605"/>
      <c r="I227" s="605"/>
      <c r="J227" s="489"/>
      <c r="K227" s="326"/>
      <c r="P227" s="327"/>
      <c r="Q227" s="327"/>
      <c r="R227" s="327"/>
      <c r="S227" s="327"/>
      <c r="T227" s="327"/>
      <c r="U227" s="327"/>
    </row>
    <row r="228" spans="2:21">
      <c r="B228" s="601"/>
      <c r="C228" s="602"/>
      <c r="D228" s="601"/>
      <c r="E228" s="327"/>
      <c r="F228" s="327"/>
      <c r="G228" s="604"/>
      <c r="H228" s="605"/>
      <c r="I228" s="605"/>
      <c r="J228" s="489"/>
      <c r="K228" s="326"/>
      <c r="P228" s="327"/>
      <c r="Q228" s="327"/>
      <c r="R228" s="327"/>
      <c r="S228" s="327"/>
      <c r="T228" s="327"/>
      <c r="U228" s="327"/>
    </row>
    <row r="229" spans="2:21">
      <c r="B229" s="601"/>
      <c r="C229" s="602"/>
      <c r="D229" s="601"/>
      <c r="E229" s="327"/>
      <c r="F229" s="327"/>
      <c r="G229" s="604"/>
      <c r="H229" s="605"/>
      <c r="I229" s="605"/>
      <c r="J229" s="489"/>
      <c r="K229" s="326"/>
      <c r="P229" s="327"/>
      <c r="Q229" s="327"/>
      <c r="R229" s="327"/>
      <c r="S229" s="327"/>
      <c r="T229" s="327"/>
      <c r="U229" s="327"/>
    </row>
    <row r="230" spans="2:21">
      <c r="B230" s="601"/>
      <c r="C230" s="603"/>
      <c r="D230" s="601"/>
      <c r="E230" s="327"/>
      <c r="F230" s="327"/>
      <c r="G230" s="604"/>
      <c r="H230" s="605"/>
      <c r="I230" s="605"/>
      <c r="J230" s="489"/>
      <c r="K230" s="326"/>
      <c r="P230" s="327"/>
      <c r="Q230" s="327"/>
      <c r="R230" s="327"/>
      <c r="S230" s="327"/>
      <c r="T230" s="327"/>
      <c r="U230" s="327"/>
    </row>
    <row r="231" spans="2:21">
      <c r="B231" s="601"/>
      <c r="C231" s="602"/>
      <c r="D231" s="601"/>
      <c r="E231" s="327"/>
      <c r="F231" s="327"/>
      <c r="G231" s="604"/>
      <c r="H231" s="605"/>
      <c r="I231" s="605"/>
      <c r="J231" s="489"/>
      <c r="K231" s="326"/>
      <c r="P231" s="327"/>
      <c r="Q231" s="327"/>
      <c r="R231" s="327"/>
      <c r="S231" s="327"/>
      <c r="T231" s="327"/>
      <c r="U231" s="327"/>
    </row>
    <row r="232" spans="2:21">
      <c r="B232" s="601"/>
      <c r="C232" s="602"/>
      <c r="D232" s="601"/>
      <c r="E232" s="327"/>
      <c r="F232" s="327"/>
      <c r="G232" s="604"/>
      <c r="H232" s="605"/>
      <c r="I232" s="605"/>
      <c r="J232" s="489"/>
      <c r="K232" s="326"/>
      <c r="P232" s="327"/>
      <c r="Q232" s="327"/>
      <c r="R232" s="327"/>
      <c r="S232" s="327"/>
      <c r="T232" s="327"/>
      <c r="U232" s="327"/>
    </row>
    <row r="233" spans="2:21">
      <c r="B233" s="601"/>
      <c r="C233" s="602"/>
      <c r="D233" s="601"/>
      <c r="E233" s="327"/>
      <c r="F233" s="327"/>
      <c r="G233" s="604"/>
      <c r="H233" s="605"/>
      <c r="I233" s="605"/>
      <c r="J233" s="489"/>
      <c r="K233" s="326"/>
      <c r="P233" s="327"/>
      <c r="Q233" s="327"/>
      <c r="R233" s="327"/>
      <c r="S233" s="327"/>
      <c r="T233" s="327"/>
      <c r="U233" s="327"/>
    </row>
    <row r="234" spans="2:21">
      <c r="B234" s="601"/>
      <c r="C234" s="602"/>
      <c r="D234" s="601"/>
      <c r="E234" s="327"/>
      <c r="F234" s="327"/>
      <c r="G234" s="604"/>
      <c r="H234" s="605"/>
      <c r="I234" s="605"/>
      <c r="J234" s="489"/>
      <c r="K234" s="326"/>
      <c r="P234" s="327"/>
      <c r="Q234" s="327"/>
      <c r="R234" s="327"/>
      <c r="S234" s="327"/>
      <c r="T234" s="327"/>
      <c r="U234" s="327"/>
    </row>
    <row r="235" spans="2:21">
      <c r="B235" s="601"/>
      <c r="C235" s="602"/>
      <c r="D235" s="601"/>
      <c r="E235" s="327"/>
      <c r="F235" s="327"/>
      <c r="G235" s="604"/>
      <c r="H235" s="605"/>
      <c r="I235" s="605"/>
      <c r="J235" s="489"/>
      <c r="K235" s="326"/>
      <c r="P235" s="327"/>
      <c r="Q235" s="327"/>
      <c r="R235" s="327"/>
      <c r="S235" s="327"/>
      <c r="T235" s="327"/>
      <c r="U235" s="327"/>
    </row>
    <row r="236" spans="2:21">
      <c r="B236" s="601"/>
      <c r="C236" s="602"/>
      <c r="D236" s="601"/>
      <c r="E236" s="327"/>
      <c r="F236" s="327"/>
      <c r="G236" s="604"/>
      <c r="H236" s="605"/>
      <c r="I236" s="605"/>
      <c r="J236" s="489"/>
      <c r="K236" s="326"/>
      <c r="P236" s="327"/>
      <c r="Q236" s="327"/>
      <c r="R236" s="327"/>
      <c r="S236" s="327"/>
      <c r="T236" s="327"/>
      <c r="U236" s="327"/>
    </row>
    <row r="237" spans="2:21">
      <c r="B237" s="601"/>
      <c r="C237" s="602"/>
      <c r="D237" s="601"/>
      <c r="E237" s="327"/>
      <c r="F237" s="327"/>
      <c r="G237" s="604"/>
      <c r="H237" s="605"/>
      <c r="I237" s="605"/>
      <c r="J237" s="489"/>
      <c r="K237" s="326"/>
      <c r="P237" s="327"/>
      <c r="Q237" s="327"/>
      <c r="R237" s="327"/>
      <c r="S237" s="327"/>
      <c r="T237" s="327"/>
      <c r="U237" s="327"/>
    </row>
    <row r="238" spans="2:21">
      <c r="B238" s="601"/>
      <c r="C238" s="602"/>
      <c r="D238" s="601"/>
      <c r="E238" s="327"/>
      <c r="F238" s="327"/>
      <c r="G238" s="604"/>
      <c r="H238" s="605"/>
      <c r="I238" s="605"/>
      <c r="J238" s="489"/>
      <c r="K238" s="326"/>
      <c r="P238" s="327"/>
      <c r="Q238" s="327"/>
      <c r="R238" s="327"/>
      <c r="S238" s="327"/>
      <c r="T238" s="327"/>
      <c r="U238" s="327"/>
    </row>
    <row r="239" spans="2:21">
      <c r="B239" s="601"/>
      <c r="C239" s="602"/>
      <c r="D239" s="601"/>
      <c r="E239" s="327"/>
      <c r="F239" s="327"/>
      <c r="G239" s="604"/>
      <c r="H239" s="605"/>
      <c r="I239" s="605"/>
      <c r="J239" s="489"/>
      <c r="K239" s="326"/>
      <c r="P239" s="327"/>
      <c r="Q239" s="327"/>
      <c r="R239" s="327"/>
      <c r="S239" s="327"/>
      <c r="T239" s="327"/>
      <c r="U239" s="327"/>
    </row>
    <row r="240" spans="2:21">
      <c r="B240" s="601"/>
      <c r="C240" s="602"/>
      <c r="D240" s="601"/>
      <c r="E240" s="327"/>
      <c r="F240" s="327"/>
      <c r="G240" s="604"/>
      <c r="H240" s="605"/>
      <c r="I240" s="605"/>
      <c r="J240" s="489"/>
      <c r="K240" s="326"/>
      <c r="P240" s="327"/>
      <c r="Q240" s="327"/>
      <c r="R240" s="327"/>
      <c r="S240" s="327"/>
      <c r="T240" s="327"/>
      <c r="U240" s="327"/>
    </row>
    <row r="241" spans="2:21">
      <c r="B241" s="601"/>
      <c r="C241" s="602"/>
      <c r="D241" s="601"/>
      <c r="E241" s="327"/>
      <c r="F241" s="327"/>
      <c r="G241" s="604"/>
      <c r="H241" s="605"/>
      <c r="I241" s="605"/>
      <c r="J241" s="489"/>
      <c r="K241" s="326"/>
      <c r="P241" s="327"/>
      <c r="Q241" s="327"/>
      <c r="R241" s="327"/>
      <c r="S241" s="327"/>
      <c r="T241" s="327"/>
      <c r="U241" s="327"/>
    </row>
    <row r="242" spans="2:21">
      <c r="B242" s="601"/>
      <c r="C242" s="602"/>
      <c r="D242" s="601"/>
      <c r="E242" s="327"/>
      <c r="F242" s="327"/>
      <c r="G242" s="604"/>
      <c r="H242" s="605"/>
      <c r="I242" s="605"/>
      <c r="J242" s="489"/>
      <c r="K242" s="326"/>
      <c r="P242" s="327"/>
      <c r="Q242" s="327"/>
      <c r="R242" s="327"/>
      <c r="S242" s="327"/>
      <c r="T242" s="327"/>
      <c r="U242" s="327"/>
    </row>
    <row r="243" spans="2:21">
      <c r="B243" s="601"/>
      <c r="C243" s="602"/>
      <c r="D243" s="601"/>
      <c r="E243" s="327"/>
      <c r="F243" s="327"/>
      <c r="G243" s="604"/>
      <c r="H243" s="605"/>
      <c r="I243" s="605"/>
      <c r="J243" s="489"/>
      <c r="K243" s="326"/>
      <c r="P243" s="327"/>
      <c r="Q243" s="327"/>
      <c r="R243" s="327"/>
      <c r="S243" s="327"/>
      <c r="T243" s="327"/>
      <c r="U243" s="327"/>
    </row>
    <row r="244" spans="2:21">
      <c r="B244" s="601"/>
      <c r="C244" s="602"/>
      <c r="D244" s="601"/>
      <c r="E244" s="327"/>
      <c r="F244" s="327"/>
      <c r="G244" s="604"/>
      <c r="H244" s="605"/>
      <c r="I244" s="605"/>
      <c r="J244" s="489"/>
      <c r="K244" s="326"/>
      <c r="P244" s="327"/>
      <c r="Q244" s="327"/>
      <c r="R244" s="327"/>
      <c r="S244" s="327"/>
      <c r="T244" s="327"/>
      <c r="U244" s="327"/>
    </row>
    <row r="245" spans="2:21">
      <c r="B245" s="601"/>
      <c r="C245" s="602"/>
      <c r="D245" s="601"/>
      <c r="E245" s="327"/>
      <c r="F245" s="327"/>
      <c r="G245" s="604"/>
      <c r="H245" s="605"/>
      <c r="I245" s="605"/>
      <c r="J245" s="489"/>
      <c r="K245" s="326"/>
      <c r="P245" s="327"/>
      <c r="Q245" s="327"/>
      <c r="R245" s="327"/>
      <c r="S245" s="327"/>
      <c r="T245" s="327"/>
      <c r="U245" s="327"/>
    </row>
    <row r="246" spans="2:21">
      <c r="B246" s="601"/>
      <c r="C246" s="648"/>
      <c r="D246" s="601"/>
      <c r="E246" s="327"/>
      <c r="F246" s="327"/>
      <c r="G246" s="604"/>
      <c r="H246" s="605"/>
      <c r="I246" s="605"/>
      <c r="J246" s="489"/>
      <c r="K246" s="326"/>
      <c r="P246" s="327"/>
      <c r="Q246" s="327"/>
      <c r="R246" s="327"/>
      <c r="S246" s="327"/>
      <c r="T246" s="327"/>
      <c r="U246" s="327"/>
    </row>
    <row r="247" spans="2:21">
      <c r="B247" s="601"/>
      <c r="C247" s="602"/>
      <c r="D247" s="601"/>
      <c r="E247" s="327"/>
      <c r="F247" s="327"/>
      <c r="G247" s="604"/>
      <c r="H247" s="605"/>
      <c r="I247" s="605"/>
      <c r="J247" s="489"/>
      <c r="K247" s="326"/>
      <c r="P247" s="327"/>
      <c r="Q247" s="327"/>
      <c r="R247" s="327"/>
      <c r="S247" s="327"/>
      <c r="T247" s="327"/>
      <c r="U247" s="327"/>
    </row>
    <row r="248" spans="2:21">
      <c r="B248" s="601"/>
      <c r="C248" s="602"/>
      <c r="D248" s="601"/>
      <c r="E248" s="327"/>
      <c r="F248" s="327"/>
      <c r="G248" s="604"/>
      <c r="H248" s="605"/>
      <c r="I248" s="605"/>
      <c r="J248" s="489"/>
      <c r="K248" s="326"/>
      <c r="P248" s="327"/>
      <c r="Q248" s="327"/>
      <c r="R248" s="327"/>
      <c r="S248" s="327"/>
      <c r="T248" s="327"/>
      <c r="U248" s="327"/>
    </row>
    <row r="249" spans="2:21">
      <c r="B249" s="601"/>
      <c r="C249" s="602"/>
      <c r="D249" s="601"/>
      <c r="E249" s="327"/>
      <c r="F249" s="327"/>
      <c r="G249" s="604"/>
      <c r="H249" s="605"/>
      <c r="I249" s="605"/>
      <c r="J249" s="489"/>
      <c r="K249" s="326"/>
      <c r="P249" s="327"/>
      <c r="Q249" s="327"/>
      <c r="R249" s="327"/>
      <c r="S249" s="327"/>
      <c r="T249" s="327"/>
      <c r="U249" s="327"/>
    </row>
    <row r="250" spans="2:21">
      <c r="B250" s="601"/>
      <c r="C250" s="602"/>
      <c r="D250" s="601"/>
      <c r="E250" s="327"/>
      <c r="F250" s="327"/>
      <c r="G250" s="604"/>
      <c r="H250" s="605"/>
      <c r="I250" s="605"/>
      <c r="J250" s="489"/>
      <c r="K250" s="326"/>
      <c r="P250" s="327"/>
      <c r="Q250" s="327"/>
      <c r="R250" s="327"/>
      <c r="S250" s="327"/>
      <c r="T250" s="327"/>
      <c r="U250" s="327"/>
    </row>
    <row r="251" spans="2:21">
      <c r="B251" s="601"/>
      <c r="C251" s="602"/>
      <c r="D251" s="601"/>
      <c r="E251" s="327"/>
      <c r="F251" s="327"/>
      <c r="G251" s="604"/>
      <c r="H251" s="605"/>
      <c r="I251" s="605"/>
      <c r="J251" s="489"/>
      <c r="K251" s="326"/>
      <c r="P251" s="327"/>
      <c r="Q251" s="327"/>
      <c r="R251" s="327"/>
      <c r="S251" s="327"/>
      <c r="T251" s="327"/>
      <c r="U251" s="327"/>
    </row>
    <row r="252" spans="2:21">
      <c r="B252" s="601"/>
      <c r="C252" s="602"/>
      <c r="D252" s="601"/>
      <c r="E252" s="327"/>
      <c r="F252" s="327"/>
      <c r="G252" s="604"/>
      <c r="H252" s="605"/>
      <c r="I252" s="605"/>
      <c r="J252" s="489"/>
      <c r="K252" s="326"/>
      <c r="P252" s="327"/>
      <c r="Q252" s="327"/>
      <c r="R252" s="327"/>
      <c r="S252" s="327"/>
      <c r="T252" s="327"/>
      <c r="U252" s="327"/>
    </row>
    <row r="253" spans="2:21">
      <c r="B253" s="601"/>
      <c r="C253" s="602"/>
      <c r="D253" s="601"/>
      <c r="E253" s="327"/>
      <c r="F253" s="327"/>
      <c r="G253" s="604"/>
      <c r="H253" s="605"/>
      <c r="I253" s="605"/>
      <c r="J253" s="489"/>
      <c r="K253" s="326"/>
      <c r="P253" s="327"/>
      <c r="Q253" s="327"/>
      <c r="R253" s="327"/>
      <c r="S253" s="327"/>
      <c r="T253" s="327"/>
      <c r="U253" s="327"/>
    </row>
    <row r="254" spans="2:21">
      <c r="B254" s="601"/>
      <c r="C254" s="602"/>
      <c r="D254" s="601"/>
      <c r="E254" s="327"/>
      <c r="F254" s="327"/>
      <c r="G254" s="604"/>
      <c r="H254" s="605"/>
      <c r="I254" s="605"/>
      <c r="J254" s="489"/>
      <c r="K254" s="326"/>
      <c r="P254" s="327"/>
      <c r="Q254" s="327"/>
      <c r="R254" s="327"/>
      <c r="S254" s="327"/>
      <c r="T254" s="327"/>
      <c r="U254" s="327"/>
    </row>
    <row r="255" spans="2:21">
      <c r="B255" s="601"/>
      <c r="C255" s="602"/>
      <c r="D255" s="601"/>
      <c r="E255" s="327"/>
      <c r="F255" s="327"/>
      <c r="G255" s="604"/>
      <c r="H255" s="605"/>
      <c r="I255" s="605"/>
      <c r="J255" s="489"/>
      <c r="K255" s="326"/>
      <c r="P255" s="327"/>
      <c r="Q255" s="327"/>
      <c r="R255" s="327"/>
      <c r="S255" s="327"/>
      <c r="T255" s="327"/>
      <c r="U255" s="327"/>
    </row>
    <row r="256" spans="2:21">
      <c r="B256" s="601"/>
      <c r="C256" s="602"/>
      <c r="D256" s="601"/>
      <c r="E256" s="327"/>
      <c r="F256" s="327"/>
      <c r="G256" s="604"/>
      <c r="H256" s="605"/>
      <c r="I256" s="605"/>
      <c r="J256" s="489"/>
      <c r="K256" s="326"/>
      <c r="P256" s="327"/>
      <c r="Q256" s="327"/>
      <c r="R256" s="327"/>
      <c r="S256" s="327"/>
      <c r="T256" s="327"/>
      <c r="U256" s="327"/>
    </row>
    <row r="257" spans="2:21">
      <c r="B257" s="601"/>
      <c r="C257" s="602"/>
      <c r="D257" s="601"/>
      <c r="E257" s="327"/>
      <c r="F257" s="327"/>
      <c r="G257" s="604"/>
      <c r="H257" s="605"/>
      <c r="I257" s="605"/>
      <c r="J257" s="489"/>
      <c r="K257" s="326"/>
      <c r="P257" s="327"/>
      <c r="Q257" s="327"/>
      <c r="R257" s="327"/>
      <c r="S257" s="327"/>
      <c r="T257" s="327"/>
      <c r="U257" s="327"/>
    </row>
    <row r="258" spans="2:21">
      <c r="B258" s="601"/>
      <c r="C258" s="602"/>
      <c r="D258" s="601"/>
      <c r="E258" s="327"/>
      <c r="F258" s="327"/>
      <c r="G258" s="604"/>
      <c r="H258" s="605"/>
      <c r="I258" s="605"/>
      <c r="J258" s="489"/>
      <c r="K258" s="326"/>
      <c r="P258" s="327"/>
      <c r="Q258" s="327"/>
      <c r="R258" s="327"/>
      <c r="S258" s="327"/>
      <c r="T258" s="327"/>
      <c r="U258" s="327"/>
    </row>
    <row r="259" spans="2:21">
      <c r="B259" s="601"/>
      <c r="C259" s="602"/>
      <c r="D259" s="601"/>
      <c r="E259" s="327"/>
      <c r="F259" s="327"/>
      <c r="G259" s="604"/>
      <c r="H259" s="605"/>
      <c r="I259" s="605"/>
      <c r="J259" s="489"/>
      <c r="K259" s="326"/>
      <c r="P259" s="327"/>
      <c r="Q259" s="327"/>
      <c r="R259" s="327"/>
      <c r="S259" s="327"/>
      <c r="T259" s="327"/>
      <c r="U259" s="327"/>
    </row>
    <row r="260" spans="2:21">
      <c r="B260" s="601"/>
      <c r="C260" s="602"/>
      <c r="D260" s="601"/>
      <c r="E260" s="327"/>
      <c r="F260" s="327"/>
      <c r="G260" s="604"/>
      <c r="H260" s="605"/>
      <c r="I260" s="605"/>
      <c r="J260" s="489"/>
      <c r="K260" s="326"/>
      <c r="P260" s="327"/>
      <c r="Q260" s="327"/>
      <c r="R260" s="327"/>
      <c r="S260" s="327"/>
      <c r="T260" s="327"/>
      <c r="U260" s="327"/>
    </row>
    <row r="261" spans="2:21">
      <c r="B261" s="601"/>
      <c r="C261" s="602"/>
      <c r="D261" s="601"/>
      <c r="E261" s="327"/>
      <c r="F261" s="327"/>
      <c r="G261" s="604"/>
      <c r="H261" s="605"/>
      <c r="I261" s="605"/>
      <c r="J261" s="489"/>
      <c r="K261" s="326"/>
      <c r="P261" s="327"/>
      <c r="Q261" s="327"/>
      <c r="R261" s="327"/>
      <c r="S261" s="327"/>
      <c r="T261" s="327"/>
      <c r="U261" s="327"/>
    </row>
    <row r="262" spans="2:21">
      <c r="B262" s="601"/>
      <c r="C262" s="602"/>
      <c r="D262" s="601"/>
      <c r="E262" s="327"/>
      <c r="F262" s="327"/>
      <c r="G262" s="604"/>
      <c r="H262" s="605"/>
      <c r="I262" s="605"/>
      <c r="J262" s="489"/>
      <c r="K262" s="326"/>
      <c r="P262" s="327"/>
      <c r="Q262" s="327"/>
      <c r="R262" s="327"/>
      <c r="S262" s="327"/>
      <c r="T262" s="327"/>
      <c r="U262" s="327"/>
    </row>
    <row r="263" spans="2:21">
      <c r="B263" s="601"/>
      <c r="C263" s="602"/>
      <c r="D263" s="601"/>
      <c r="E263" s="327"/>
      <c r="F263" s="327"/>
      <c r="G263" s="604"/>
      <c r="H263" s="605"/>
      <c r="I263" s="605"/>
      <c r="J263" s="489"/>
      <c r="K263" s="326"/>
      <c r="P263" s="327"/>
      <c r="Q263" s="327"/>
      <c r="R263" s="327"/>
      <c r="S263" s="327"/>
      <c r="T263" s="327"/>
      <c r="U263" s="327"/>
    </row>
    <row r="264" spans="2:21">
      <c r="B264" s="601"/>
      <c r="C264" s="602"/>
      <c r="D264" s="601"/>
      <c r="E264" s="327"/>
      <c r="F264" s="327"/>
      <c r="G264" s="604"/>
      <c r="H264" s="605"/>
      <c r="I264" s="605"/>
      <c r="J264" s="489"/>
      <c r="K264" s="326"/>
      <c r="P264" s="327"/>
      <c r="Q264" s="327"/>
      <c r="R264" s="327"/>
      <c r="S264" s="327"/>
      <c r="T264" s="327"/>
      <c r="U264" s="327"/>
    </row>
    <row r="265" spans="2:21">
      <c r="B265" s="601"/>
      <c r="C265" s="602"/>
      <c r="D265" s="601"/>
      <c r="E265" s="327"/>
      <c r="F265" s="327"/>
      <c r="G265" s="604"/>
      <c r="H265" s="605"/>
      <c r="I265" s="605"/>
      <c r="J265" s="489"/>
      <c r="K265" s="326"/>
      <c r="P265" s="327"/>
      <c r="Q265" s="327"/>
      <c r="R265" s="327"/>
      <c r="S265" s="327"/>
      <c r="T265" s="327"/>
      <c r="U265" s="327"/>
    </row>
    <row r="266" spans="2:21">
      <c r="B266" s="601"/>
      <c r="C266" s="602"/>
      <c r="D266" s="601"/>
      <c r="E266" s="327"/>
      <c r="F266" s="327"/>
      <c r="G266" s="604"/>
      <c r="H266" s="605"/>
      <c r="I266" s="605"/>
      <c r="J266" s="489"/>
      <c r="K266" s="326"/>
      <c r="P266" s="327"/>
      <c r="Q266" s="327"/>
      <c r="R266" s="327"/>
      <c r="S266" s="327"/>
      <c r="T266" s="327"/>
      <c r="U266" s="327"/>
    </row>
    <row r="267" spans="2:21">
      <c r="B267" s="601"/>
      <c r="C267" s="602"/>
      <c r="D267" s="601"/>
      <c r="E267" s="327"/>
      <c r="F267" s="327"/>
      <c r="G267" s="604"/>
      <c r="H267" s="605"/>
      <c r="I267" s="605"/>
      <c r="J267" s="489"/>
      <c r="K267" s="326"/>
      <c r="P267" s="327"/>
      <c r="Q267" s="327"/>
      <c r="R267" s="327"/>
      <c r="S267" s="327"/>
      <c r="T267" s="327"/>
      <c r="U267" s="327"/>
    </row>
    <row r="268" spans="2:21">
      <c r="B268" s="601"/>
      <c r="C268" s="602"/>
      <c r="D268" s="601"/>
      <c r="E268" s="327"/>
      <c r="F268" s="327"/>
      <c r="G268" s="604"/>
      <c r="H268" s="605"/>
      <c r="I268" s="605"/>
      <c r="J268" s="489"/>
      <c r="K268" s="326"/>
      <c r="P268" s="327"/>
      <c r="Q268" s="327"/>
      <c r="R268" s="327"/>
      <c r="S268" s="327"/>
      <c r="T268" s="327"/>
      <c r="U268" s="327"/>
    </row>
    <row r="269" spans="2:21">
      <c r="B269" s="601"/>
      <c r="C269" s="602"/>
      <c r="D269" s="601"/>
      <c r="E269" s="327"/>
      <c r="F269" s="327"/>
      <c r="G269" s="604"/>
      <c r="H269" s="605"/>
      <c r="I269" s="605"/>
      <c r="J269" s="489"/>
      <c r="K269" s="326"/>
      <c r="P269" s="327"/>
      <c r="Q269" s="327"/>
      <c r="R269" s="327"/>
      <c r="S269" s="327"/>
      <c r="T269" s="327"/>
      <c r="U269" s="327"/>
    </row>
    <row r="270" spans="2:21">
      <c r="B270" s="601"/>
      <c r="C270" s="602"/>
      <c r="D270" s="601"/>
      <c r="E270" s="327"/>
      <c r="F270" s="327"/>
      <c r="G270" s="604"/>
      <c r="H270" s="605"/>
      <c r="I270" s="605"/>
      <c r="J270" s="489"/>
      <c r="K270" s="326"/>
      <c r="P270" s="327"/>
      <c r="Q270" s="327"/>
      <c r="R270" s="327"/>
      <c r="S270" s="327"/>
      <c r="T270" s="327"/>
      <c r="U270" s="327"/>
    </row>
    <row r="271" spans="2:21">
      <c r="B271" s="601"/>
      <c r="C271" s="602"/>
      <c r="D271" s="601"/>
      <c r="E271" s="327"/>
      <c r="F271" s="327"/>
      <c r="G271" s="604"/>
      <c r="H271" s="605"/>
      <c r="I271" s="605"/>
      <c r="J271" s="489"/>
      <c r="K271" s="326"/>
      <c r="P271" s="327"/>
      <c r="Q271" s="327"/>
      <c r="R271" s="327"/>
      <c r="S271" s="327"/>
      <c r="T271" s="327"/>
      <c r="U271" s="327"/>
    </row>
    <row r="272" spans="2:21">
      <c r="B272" s="601"/>
      <c r="C272" s="602"/>
      <c r="D272" s="601"/>
      <c r="E272" s="327"/>
      <c r="F272" s="327"/>
      <c r="G272" s="604"/>
      <c r="H272" s="605"/>
      <c r="I272" s="605"/>
      <c r="J272" s="489"/>
      <c r="K272" s="326"/>
      <c r="P272" s="327"/>
      <c r="Q272" s="327"/>
      <c r="R272" s="327"/>
      <c r="S272" s="327"/>
      <c r="T272" s="327"/>
      <c r="U272" s="327"/>
    </row>
    <row r="273" spans="2:21">
      <c r="B273" s="601"/>
      <c r="C273" s="602"/>
      <c r="D273" s="601"/>
      <c r="E273" s="327"/>
      <c r="F273" s="327"/>
      <c r="G273" s="604"/>
      <c r="H273" s="605"/>
      <c r="I273" s="605"/>
      <c r="J273" s="489"/>
      <c r="K273" s="326"/>
      <c r="P273" s="327"/>
      <c r="Q273" s="327"/>
      <c r="R273" s="327"/>
      <c r="S273" s="327"/>
      <c r="T273" s="327"/>
      <c r="U273" s="327"/>
    </row>
    <row r="274" spans="2:21">
      <c r="B274" s="601"/>
      <c r="C274" s="602"/>
      <c r="D274" s="601"/>
      <c r="E274" s="327"/>
      <c r="F274" s="327"/>
      <c r="G274" s="604"/>
      <c r="H274" s="605"/>
      <c r="I274" s="605"/>
      <c r="J274" s="489"/>
      <c r="K274" s="326"/>
      <c r="P274" s="327"/>
      <c r="Q274" s="327"/>
      <c r="R274" s="327"/>
      <c r="S274" s="327"/>
      <c r="T274" s="327"/>
      <c r="U274" s="327"/>
    </row>
    <row r="275" spans="2:21">
      <c r="B275" s="601"/>
      <c r="C275" s="602"/>
      <c r="D275" s="601"/>
      <c r="E275" s="327"/>
      <c r="F275" s="327"/>
      <c r="G275" s="604"/>
      <c r="H275" s="605"/>
      <c r="I275" s="605"/>
      <c r="J275" s="513"/>
      <c r="K275" s="514"/>
      <c r="L275" s="514"/>
      <c r="M275" s="514"/>
      <c r="N275" s="514"/>
      <c r="O275" s="514"/>
      <c r="P275" s="514"/>
      <c r="Q275" s="514"/>
      <c r="R275" s="514"/>
      <c r="S275" s="514"/>
      <c r="T275" s="514"/>
      <c r="U275" s="514"/>
    </row>
    <row r="276" spans="2:21">
      <c r="B276" s="601"/>
      <c r="C276" s="602"/>
      <c r="D276" s="601"/>
      <c r="E276" s="327"/>
      <c r="F276" s="327"/>
      <c r="G276" s="604"/>
      <c r="H276" s="605"/>
      <c r="I276" s="605"/>
      <c r="J276" s="489"/>
      <c r="K276" s="326"/>
      <c r="P276" s="327"/>
      <c r="Q276" s="327"/>
      <c r="R276" s="327"/>
      <c r="S276" s="327"/>
      <c r="T276" s="327"/>
      <c r="U276" s="327"/>
    </row>
    <row r="277" spans="2:21">
      <c r="B277" s="601"/>
      <c r="C277" s="602"/>
      <c r="D277" s="601"/>
      <c r="E277" s="327"/>
      <c r="F277" s="327"/>
      <c r="G277" s="604"/>
      <c r="H277" s="605"/>
      <c r="I277" s="605"/>
      <c r="J277" s="489"/>
      <c r="K277" s="326"/>
      <c r="P277" s="327"/>
      <c r="Q277" s="327"/>
      <c r="R277" s="327"/>
      <c r="S277" s="327"/>
      <c r="T277" s="327"/>
      <c r="U277" s="327"/>
    </row>
    <row r="278" spans="2:21">
      <c r="B278" s="601"/>
      <c r="C278" s="602"/>
      <c r="D278" s="601"/>
      <c r="E278" s="327"/>
      <c r="F278" s="327"/>
      <c r="G278" s="604"/>
      <c r="H278" s="605"/>
      <c r="I278" s="605"/>
      <c r="J278" s="489"/>
      <c r="K278" s="326"/>
      <c r="P278" s="327"/>
      <c r="Q278" s="327"/>
      <c r="R278" s="327"/>
      <c r="S278" s="327"/>
      <c r="T278" s="327"/>
      <c r="U278" s="327"/>
    </row>
    <row r="279" spans="2:21">
      <c r="B279" s="601"/>
      <c r="C279" s="602"/>
      <c r="D279" s="601"/>
      <c r="E279" s="327"/>
      <c r="F279" s="327"/>
      <c r="G279" s="604"/>
      <c r="H279" s="605"/>
      <c r="I279" s="605"/>
      <c r="J279" s="489"/>
      <c r="K279" s="326"/>
      <c r="P279" s="327"/>
      <c r="Q279" s="327"/>
      <c r="R279" s="327"/>
      <c r="S279" s="327"/>
      <c r="T279" s="327"/>
      <c r="U279" s="327"/>
    </row>
    <row r="280" spans="2:21">
      <c r="B280" s="601"/>
      <c r="C280" s="602"/>
      <c r="D280" s="601"/>
      <c r="E280" s="327"/>
      <c r="F280" s="327"/>
      <c r="G280" s="604"/>
      <c r="H280" s="605"/>
      <c r="I280" s="605"/>
      <c r="J280" s="489"/>
      <c r="K280" s="326"/>
      <c r="P280" s="327"/>
      <c r="Q280" s="327"/>
      <c r="R280" s="327"/>
      <c r="S280" s="327"/>
      <c r="T280" s="327"/>
      <c r="U280" s="327"/>
    </row>
    <row r="281" spans="2:21">
      <c r="B281" s="601"/>
      <c r="C281" s="602"/>
      <c r="D281" s="601"/>
      <c r="E281" s="327"/>
      <c r="F281" s="327"/>
      <c r="G281" s="604"/>
      <c r="H281" s="605"/>
      <c r="I281" s="605"/>
      <c r="J281" s="489"/>
      <c r="K281" s="326"/>
      <c r="P281" s="327"/>
      <c r="Q281" s="327"/>
      <c r="R281" s="327"/>
      <c r="S281" s="327"/>
      <c r="T281" s="327"/>
      <c r="U281" s="327"/>
    </row>
    <row r="282" spans="2:21">
      <c r="B282" s="601"/>
      <c r="C282" s="602"/>
      <c r="D282" s="601"/>
      <c r="E282" s="327"/>
      <c r="F282" s="327"/>
      <c r="G282" s="604"/>
      <c r="H282" s="605"/>
      <c r="I282" s="605"/>
      <c r="J282" s="489"/>
      <c r="K282" s="326"/>
      <c r="P282" s="327"/>
      <c r="Q282" s="327"/>
      <c r="R282" s="327"/>
      <c r="S282" s="327"/>
      <c r="T282" s="327"/>
      <c r="U282" s="327"/>
    </row>
    <row r="283" spans="2:21">
      <c r="B283" s="601"/>
      <c r="C283" s="602"/>
      <c r="D283" s="601"/>
      <c r="E283" s="327"/>
      <c r="F283" s="327"/>
      <c r="G283" s="604"/>
      <c r="H283" s="605"/>
      <c r="I283" s="605"/>
      <c r="J283" s="489"/>
      <c r="K283" s="326"/>
      <c r="P283" s="327"/>
      <c r="Q283" s="327"/>
      <c r="R283" s="327"/>
      <c r="S283" s="327"/>
      <c r="T283" s="327"/>
      <c r="U283" s="327"/>
    </row>
    <row r="284" spans="2:21">
      <c r="B284" s="601"/>
      <c r="C284" s="602"/>
      <c r="D284" s="601"/>
      <c r="E284" s="327"/>
      <c r="F284" s="327"/>
      <c r="G284" s="604"/>
      <c r="H284" s="605"/>
      <c r="I284" s="605"/>
      <c r="J284" s="489"/>
      <c r="K284" s="326"/>
      <c r="P284" s="327"/>
      <c r="Q284" s="327"/>
      <c r="R284" s="327"/>
      <c r="S284" s="327"/>
      <c r="T284" s="327"/>
      <c r="U284" s="327"/>
    </row>
    <row r="285" spans="2:21">
      <c r="B285" s="601"/>
      <c r="C285" s="602"/>
      <c r="D285" s="601"/>
      <c r="E285" s="327"/>
      <c r="F285" s="327"/>
      <c r="G285" s="604"/>
      <c r="H285" s="605"/>
      <c r="I285" s="605"/>
      <c r="J285" s="489"/>
      <c r="K285" s="326"/>
      <c r="P285" s="327"/>
      <c r="Q285" s="327"/>
      <c r="R285" s="327"/>
      <c r="S285" s="327"/>
      <c r="T285" s="327"/>
      <c r="U285" s="327"/>
    </row>
    <row r="286" spans="2:21">
      <c r="B286" s="601"/>
      <c r="C286" s="602"/>
      <c r="D286" s="601"/>
      <c r="E286" s="327"/>
      <c r="F286" s="327"/>
      <c r="G286" s="604"/>
      <c r="H286" s="605"/>
      <c r="I286" s="605"/>
      <c r="J286" s="489"/>
      <c r="K286" s="326"/>
      <c r="P286" s="327"/>
      <c r="Q286" s="327"/>
      <c r="R286" s="327"/>
      <c r="S286" s="327"/>
      <c r="T286" s="327"/>
      <c r="U286" s="327"/>
    </row>
    <row r="287" spans="2:21">
      <c r="B287" s="601"/>
      <c r="C287" s="602"/>
      <c r="D287" s="601"/>
      <c r="E287" s="327"/>
      <c r="F287" s="327"/>
      <c r="G287" s="604"/>
      <c r="H287" s="605"/>
      <c r="I287" s="605"/>
      <c r="J287" s="489"/>
      <c r="K287" s="326"/>
      <c r="P287" s="327"/>
      <c r="Q287" s="327"/>
      <c r="R287" s="327"/>
      <c r="S287" s="327"/>
      <c r="T287" s="327"/>
      <c r="U287" s="327"/>
    </row>
    <row r="288" spans="2:21">
      <c r="B288" s="601"/>
      <c r="C288" s="602"/>
      <c r="D288" s="601"/>
      <c r="E288" s="327"/>
      <c r="F288" s="327"/>
      <c r="G288" s="604"/>
      <c r="H288" s="605"/>
      <c r="I288" s="605"/>
      <c r="J288" s="489"/>
      <c r="K288" s="326"/>
      <c r="P288" s="327"/>
      <c r="Q288" s="327"/>
      <c r="R288" s="327"/>
      <c r="S288" s="327"/>
      <c r="T288" s="327"/>
      <c r="U288" s="327"/>
    </row>
    <row r="289" spans="2:21">
      <c r="B289" s="601"/>
      <c r="C289" s="602"/>
      <c r="D289" s="601"/>
      <c r="E289" s="327"/>
      <c r="F289" s="327"/>
      <c r="G289" s="604"/>
      <c r="H289" s="605"/>
      <c r="I289" s="605"/>
      <c r="J289" s="489"/>
      <c r="K289" s="326"/>
      <c r="P289" s="327"/>
      <c r="Q289" s="327"/>
      <c r="R289" s="327"/>
      <c r="S289" s="327"/>
      <c r="T289" s="327"/>
      <c r="U289" s="327"/>
    </row>
    <row r="290" spans="2:21">
      <c r="B290" s="601"/>
      <c r="C290" s="602"/>
      <c r="D290" s="601"/>
      <c r="E290" s="327"/>
      <c r="F290" s="327"/>
      <c r="G290" s="604"/>
      <c r="H290" s="605"/>
      <c r="I290" s="605"/>
      <c r="J290" s="489"/>
      <c r="K290" s="326"/>
      <c r="P290" s="327"/>
      <c r="Q290" s="327"/>
      <c r="R290" s="327"/>
      <c r="S290" s="327"/>
      <c r="T290" s="327"/>
      <c r="U290" s="327"/>
    </row>
    <row r="291" spans="2:21">
      <c r="B291" s="601"/>
      <c r="C291" s="602"/>
      <c r="D291" s="601"/>
      <c r="E291" s="327"/>
      <c r="F291" s="327"/>
      <c r="G291" s="604"/>
      <c r="H291" s="605"/>
      <c r="I291" s="605"/>
      <c r="J291" s="489"/>
      <c r="K291" s="326"/>
      <c r="P291" s="327"/>
      <c r="Q291" s="327"/>
      <c r="R291" s="327"/>
      <c r="S291" s="327"/>
      <c r="T291" s="327"/>
      <c r="U291" s="327"/>
    </row>
    <row r="292" spans="2:21">
      <c r="B292" s="601"/>
      <c r="C292" s="602"/>
      <c r="D292" s="601"/>
      <c r="E292" s="327"/>
      <c r="F292" s="327"/>
      <c r="G292" s="604"/>
      <c r="H292" s="605"/>
      <c r="I292" s="605"/>
      <c r="J292" s="489"/>
      <c r="K292" s="326"/>
      <c r="P292" s="327"/>
      <c r="Q292" s="327"/>
      <c r="R292" s="327"/>
      <c r="S292" s="327"/>
      <c r="T292" s="327"/>
      <c r="U292" s="327"/>
    </row>
    <row r="293" spans="2:21">
      <c r="B293" s="601"/>
      <c r="C293" s="602"/>
      <c r="D293" s="601"/>
      <c r="E293" s="327"/>
      <c r="F293" s="327"/>
      <c r="G293" s="604"/>
      <c r="H293" s="605"/>
      <c r="I293" s="605"/>
      <c r="J293" s="489"/>
      <c r="K293" s="326"/>
      <c r="P293" s="327"/>
      <c r="Q293" s="327"/>
      <c r="R293" s="327"/>
      <c r="S293" s="327"/>
      <c r="T293" s="327"/>
      <c r="U293" s="327"/>
    </row>
    <row r="294" spans="2:21">
      <c r="B294" s="601"/>
      <c r="C294" s="602"/>
      <c r="D294" s="601"/>
      <c r="E294" s="327"/>
      <c r="F294" s="327"/>
      <c r="G294" s="604"/>
      <c r="H294" s="605"/>
      <c r="I294" s="605"/>
      <c r="J294" s="489"/>
      <c r="K294" s="326"/>
      <c r="P294" s="327"/>
      <c r="Q294" s="327"/>
      <c r="R294" s="327"/>
      <c r="S294" s="327"/>
      <c r="T294" s="327"/>
      <c r="U294" s="327"/>
    </row>
    <row r="295" spans="2:21">
      <c r="B295" s="601"/>
      <c r="C295" s="602"/>
      <c r="D295" s="601"/>
      <c r="E295" s="327"/>
      <c r="F295" s="327"/>
      <c r="G295" s="604"/>
      <c r="H295" s="605"/>
      <c r="I295" s="605"/>
      <c r="J295" s="489"/>
      <c r="K295" s="326"/>
      <c r="P295" s="327"/>
      <c r="Q295" s="327"/>
      <c r="R295" s="327"/>
      <c r="S295" s="327"/>
      <c r="T295" s="327"/>
      <c r="U295" s="327"/>
    </row>
    <row r="296" spans="2:21">
      <c r="B296" s="601"/>
      <c r="C296" s="602"/>
      <c r="D296" s="601"/>
      <c r="E296" s="327"/>
      <c r="F296" s="327"/>
      <c r="G296" s="604"/>
      <c r="H296" s="605"/>
      <c r="I296" s="605"/>
      <c r="J296" s="489"/>
      <c r="K296" s="326"/>
      <c r="P296" s="327"/>
      <c r="Q296" s="327"/>
      <c r="R296" s="327"/>
      <c r="S296" s="327"/>
      <c r="T296" s="327"/>
      <c r="U296" s="327"/>
    </row>
    <row r="297" spans="2:21">
      <c r="B297" s="601"/>
      <c r="C297" s="602"/>
      <c r="D297" s="601"/>
      <c r="E297" s="327"/>
      <c r="F297" s="327"/>
      <c r="G297" s="604"/>
      <c r="H297" s="605"/>
      <c r="I297" s="605"/>
      <c r="J297" s="489"/>
      <c r="K297" s="326"/>
      <c r="P297" s="327"/>
      <c r="Q297" s="327"/>
      <c r="R297" s="327"/>
      <c r="S297" s="327"/>
      <c r="T297" s="327"/>
      <c r="U297" s="327"/>
    </row>
    <row r="298" spans="2:21">
      <c r="B298" s="601"/>
      <c r="C298" s="602"/>
      <c r="D298" s="601"/>
      <c r="E298" s="327"/>
      <c r="F298" s="327"/>
      <c r="G298" s="604"/>
      <c r="H298" s="605"/>
      <c r="I298" s="605"/>
      <c r="J298" s="489"/>
      <c r="K298" s="326"/>
      <c r="P298" s="327"/>
      <c r="Q298" s="327"/>
      <c r="R298" s="327"/>
      <c r="S298" s="327"/>
      <c r="T298" s="327"/>
      <c r="U298" s="327"/>
    </row>
    <row r="299" spans="2:21">
      <c r="B299" s="601"/>
      <c r="C299" s="602"/>
      <c r="D299" s="601"/>
      <c r="E299" s="327"/>
      <c r="F299" s="327"/>
      <c r="G299" s="604"/>
      <c r="H299" s="605"/>
      <c r="I299" s="605"/>
      <c r="J299" s="489"/>
      <c r="K299" s="326"/>
      <c r="P299" s="327"/>
      <c r="Q299" s="327"/>
      <c r="R299" s="327"/>
      <c r="S299" s="327"/>
      <c r="T299" s="327"/>
      <c r="U299" s="327"/>
    </row>
    <row r="300" spans="2:21">
      <c r="B300" s="601"/>
      <c r="C300" s="602"/>
      <c r="D300" s="601"/>
      <c r="E300" s="327"/>
      <c r="F300" s="327"/>
      <c r="G300" s="604"/>
      <c r="H300" s="605"/>
      <c r="I300" s="605"/>
      <c r="J300" s="489"/>
      <c r="K300" s="326"/>
      <c r="P300" s="327"/>
      <c r="Q300" s="327"/>
      <c r="R300" s="327"/>
      <c r="S300" s="327"/>
      <c r="T300" s="327"/>
      <c r="U300" s="327"/>
    </row>
    <row r="301" spans="2:21">
      <c r="B301" s="601"/>
      <c r="C301" s="602"/>
      <c r="D301" s="601"/>
      <c r="E301" s="327"/>
      <c r="F301" s="327"/>
      <c r="G301" s="604"/>
      <c r="H301" s="605"/>
      <c r="I301" s="605"/>
      <c r="J301" s="489"/>
      <c r="K301" s="326"/>
      <c r="P301" s="327"/>
      <c r="Q301" s="327"/>
      <c r="R301" s="327"/>
      <c r="S301" s="327"/>
      <c r="T301" s="327"/>
      <c r="U301" s="327"/>
    </row>
    <row r="302" spans="2:21">
      <c r="B302" s="601"/>
      <c r="C302" s="602"/>
      <c r="D302" s="601"/>
      <c r="E302" s="327"/>
      <c r="F302" s="327"/>
      <c r="G302" s="604"/>
      <c r="H302" s="605"/>
      <c r="I302" s="605"/>
      <c r="J302" s="489"/>
      <c r="K302" s="326"/>
      <c r="P302" s="327"/>
      <c r="Q302" s="327"/>
      <c r="R302" s="327"/>
      <c r="S302" s="327"/>
      <c r="T302" s="327"/>
      <c r="U302" s="327"/>
    </row>
    <row r="303" spans="2:21">
      <c r="B303" s="601"/>
      <c r="C303" s="602"/>
      <c r="D303" s="601"/>
      <c r="E303" s="327"/>
      <c r="F303" s="327"/>
      <c r="G303" s="604"/>
      <c r="H303" s="605"/>
      <c r="I303" s="605"/>
      <c r="J303" s="489"/>
      <c r="K303" s="326"/>
      <c r="P303" s="327"/>
      <c r="Q303" s="327"/>
      <c r="R303" s="327"/>
      <c r="S303" s="327"/>
      <c r="T303" s="327"/>
      <c r="U303" s="327"/>
    </row>
    <row r="304" spans="2:21">
      <c r="B304" s="601"/>
      <c r="C304" s="602"/>
      <c r="D304" s="601"/>
      <c r="E304" s="327"/>
      <c r="F304" s="327"/>
      <c r="G304" s="604"/>
      <c r="H304" s="605"/>
      <c r="I304" s="605"/>
      <c r="J304" s="489"/>
      <c r="K304" s="326"/>
      <c r="P304" s="327"/>
      <c r="Q304" s="327"/>
      <c r="R304" s="327"/>
      <c r="S304" s="327"/>
      <c r="T304" s="327"/>
      <c r="U304" s="327"/>
    </row>
    <row r="305" spans="2:21">
      <c r="B305" s="601"/>
      <c r="C305" s="602"/>
      <c r="D305" s="601"/>
      <c r="E305" s="327"/>
      <c r="F305" s="327"/>
      <c r="G305" s="604"/>
      <c r="H305" s="605"/>
      <c r="I305" s="605"/>
      <c r="J305" s="489"/>
      <c r="K305" s="326"/>
      <c r="P305" s="327"/>
      <c r="Q305" s="327"/>
      <c r="R305" s="327"/>
      <c r="S305" s="327"/>
      <c r="T305" s="327"/>
      <c r="U305" s="327"/>
    </row>
    <row r="306" spans="2:21">
      <c r="B306" s="601"/>
      <c r="C306" s="602"/>
      <c r="D306" s="601"/>
      <c r="E306" s="327"/>
      <c r="F306" s="327"/>
      <c r="G306" s="604"/>
      <c r="H306" s="605"/>
      <c r="I306" s="605"/>
      <c r="J306" s="513"/>
      <c r="K306" s="514"/>
      <c r="L306" s="514"/>
      <c r="M306" s="514"/>
      <c r="N306" s="514"/>
      <c r="O306" s="514"/>
      <c r="P306" s="514"/>
      <c r="Q306" s="514"/>
      <c r="R306" s="514"/>
      <c r="S306" s="514"/>
      <c r="T306" s="514"/>
      <c r="U306" s="514"/>
    </row>
    <row r="307" spans="2:21">
      <c r="B307" s="601"/>
      <c r="C307" s="602"/>
      <c r="D307" s="601"/>
      <c r="E307" s="327"/>
      <c r="F307" s="327"/>
      <c r="G307" s="604"/>
      <c r="H307" s="605"/>
      <c r="I307" s="605"/>
      <c r="J307" s="489"/>
      <c r="K307" s="326"/>
      <c r="P307" s="327"/>
      <c r="Q307" s="327"/>
      <c r="R307" s="327"/>
      <c r="S307" s="327"/>
      <c r="T307" s="327"/>
      <c r="U307" s="327"/>
    </row>
    <row r="308" spans="2:21">
      <c r="B308" s="601"/>
      <c r="C308" s="602"/>
      <c r="D308" s="601"/>
      <c r="E308" s="327"/>
      <c r="F308" s="327"/>
      <c r="G308" s="604"/>
      <c r="H308" s="605"/>
      <c r="I308" s="605"/>
      <c r="J308" s="489"/>
      <c r="K308" s="326"/>
      <c r="P308" s="327"/>
      <c r="Q308" s="327"/>
      <c r="R308" s="327"/>
      <c r="S308" s="327"/>
      <c r="T308" s="327"/>
      <c r="U308" s="327"/>
    </row>
    <row r="309" spans="2:21">
      <c r="B309" s="601"/>
      <c r="C309" s="602"/>
      <c r="D309" s="601"/>
      <c r="E309" s="327"/>
      <c r="F309" s="327"/>
      <c r="G309" s="604"/>
      <c r="H309" s="605"/>
      <c r="I309" s="605"/>
      <c r="J309" s="489"/>
      <c r="K309" s="326"/>
      <c r="P309" s="327"/>
      <c r="Q309" s="327"/>
      <c r="R309" s="327"/>
      <c r="S309" s="327"/>
      <c r="T309" s="327"/>
      <c r="U309" s="327"/>
    </row>
    <row r="310" spans="2:21">
      <c r="B310" s="601"/>
      <c r="C310" s="602"/>
      <c r="D310" s="601"/>
      <c r="E310" s="327"/>
      <c r="F310" s="327"/>
      <c r="G310" s="604"/>
      <c r="H310" s="605"/>
      <c r="I310" s="605"/>
      <c r="J310" s="489"/>
      <c r="K310" s="326"/>
      <c r="P310" s="327"/>
      <c r="Q310" s="327"/>
      <c r="R310" s="327"/>
      <c r="S310" s="327"/>
      <c r="T310" s="327"/>
      <c r="U310" s="327"/>
    </row>
    <row r="311" spans="2:21">
      <c r="B311" s="601"/>
      <c r="C311" s="602"/>
      <c r="D311" s="601"/>
      <c r="E311" s="327"/>
      <c r="F311" s="327"/>
      <c r="G311" s="604"/>
      <c r="H311" s="605"/>
      <c r="I311" s="605"/>
      <c r="J311" s="489"/>
      <c r="K311" s="326"/>
      <c r="P311" s="327"/>
      <c r="Q311" s="327"/>
      <c r="R311" s="327"/>
      <c r="S311" s="327"/>
      <c r="T311" s="327"/>
      <c r="U311" s="327"/>
    </row>
    <row r="312" spans="2:21">
      <c r="B312" s="601"/>
      <c r="C312" s="602"/>
      <c r="D312" s="601"/>
      <c r="E312" s="327"/>
      <c r="F312" s="327"/>
      <c r="G312" s="604"/>
      <c r="H312" s="605"/>
      <c r="I312" s="605"/>
      <c r="J312" s="489"/>
      <c r="K312" s="326"/>
      <c r="P312" s="327"/>
      <c r="Q312" s="327"/>
      <c r="R312" s="327"/>
      <c r="S312" s="327"/>
      <c r="T312" s="327"/>
      <c r="U312" s="327"/>
    </row>
    <row r="313" spans="2:21">
      <c r="B313" s="601"/>
      <c r="C313" s="602"/>
      <c r="D313" s="601"/>
      <c r="E313" s="327"/>
      <c r="F313" s="327"/>
      <c r="G313" s="604"/>
      <c r="H313" s="605"/>
      <c r="I313" s="605"/>
      <c r="J313" s="489"/>
      <c r="K313" s="326"/>
      <c r="P313" s="327"/>
      <c r="Q313" s="327"/>
      <c r="R313" s="327"/>
      <c r="S313" s="327"/>
      <c r="T313" s="327"/>
      <c r="U313" s="327"/>
    </row>
    <row r="314" spans="2:21">
      <c r="B314" s="601"/>
      <c r="C314" s="602"/>
      <c r="D314" s="601"/>
      <c r="E314" s="327"/>
      <c r="F314" s="327"/>
      <c r="G314" s="604"/>
      <c r="H314" s="605"/>
      <c r="I314" s="605"/>
      <c r="J314" s="489"/>
      <c r="K314" s="326"/>
      <c r="P314" s="327"/>
      <c r="Q314" s="327"/>
      <c r="R314" s="327"/>
      <c r="S314" s="327"/>
      <c r="T314" s="327"/>
      <c r="U314" s="327"/>
    </row>
    <row r="315" spans="2:21">
      <c r="B315" s="601"/>
      <c r="C315" s="602"/>
      <c r="D315" s="601"/>
      <c r="E315" s="327"/>
      <c r="F315" s="327"/>
      <c r="G315" s="604"/>
      <c r="H315" s="605"/>
      <c r="I315" s="605"/>
      <c r="J315" s="489"/>
      <c r="K315" s="326"/>
      <c r="P315" s="327"/>
      <c r="Q315" s="327"/>
      <c r="R315" s="327"/>
      <c r="S315" s="327"/>
      <c r="T315" s="327"/>
      <c r="U315" s="327"/>
    </row>
    <row r="316" spans="2:21">
      <c r="B316" s="601"/>
      <c r="C316" s="602"/>
      <c r="D316" s="601"/>
      <c r="E316" s="327"/>
      <c r="F316" s="327"/>
      <c r="G316" s="604"/>
      <c r="H316" s="605"/>
      <c r="I316" s="605"/>
      <c r="J316" s="489"/>
      <c r="K316" s="326"/>
      <c r="P316" s="327"/>
      <c r="Q316" s="327"/>
      <c r="R316" s="327"/>
      <c r="S316" s="327"/>
      <c r="T316" s="327"/>
      <c r="U316" s="327"/>
    </row>
    <row r="317" spans="2:21">
      <c r="B317" s="601"/>
      <c r="C317" s="602"/>
      <c r="D317" s="601"/>
      <c r="E317" s="327"/>
      <c r="F317" s="327"/>
      <c r="G317" s="604"/>
      <c r="H317" s="605"/>
      <c r="I317" s="605"/>
      <c r="J317" s="489"/>
      <c r="K317" s="326"/>
      <c r="P317" s="327"/>
      <c r="Q317" s="327"/>
      <c r="R317" s="327"/>
      <c r="S317" s="327"/>
      <c r="T317" s="327"/>
      <c r="U317" s="327"/>
    </row>
    <row r="318" spans="2:21">
      <c r="B318" s="601"/>
      <c r="C318" s="602"/>
      <c r="D318" s="601"/>
      <c r="E318" s="327"/>
      <c r="F318" s="327"/>
      <c r="G318" s="604"/>
      <c r="H318" s="605"/>
      <c r="I318" s="605"/>
      <c r="J318" s="489"/>
      <c r="K318" s="326"/>
      <c r="P318" s="327"/>
      <c r="Q318" s="327"/>
      <c r="R318" s="327"/>
      <c r="S318" s="327"/>
      <c r="T318" s="327"/>
      <c r="U318" s="327"/>
    </row>
    <row r="319" spans="2:21">
      <c r="B319" s="601"/>
      <c r="C319" s="602"/>
      <c r="D319" s="601"/>
      <c r="E319" s="327"/>
      <c r="F319" s="327"/>
      <c r="G319" s="604"/>
      <c r="H319" s="605"/>
      <c r="I319" s="605"/>
      <c r="J319" s="489"/>
      <c r="K319" s="326"/>
      <c r="P319" s="327"/>
      <c r="Q319" s="327"/>
      <c r="R319" s="327"/>
      <c r="S319" s="327"/>
      <c r="T319" s="327"/>
      <c r="U319" s="327"/>
    </row>
    <row r="320" spans="2:21">
      <c r="B320" s="601"/>
      <c r="C320" s="602"/>
      <c r="D320" s="601"/>
      <c r="E320" s="327"/>
      <c r="F320" s="327"/>
      <c r="G320" s="604"/>
      <c r="H320" s="605"/>
      <c r="I320" s="605"/>
      <c r="J320" s="489"/>
      <c r="K320" s="326"/>
      <c r="P320" s="327"/>
      <c r="Q320" s="327"/>
      <c r="R320" s="327"/>
      <c r="S320" s="327"/>
      <c r="T320" s="327"/>
      <c r="U320" s="327"/>
    </row>
    <row r="321" spans="2:21">
      <c r="B321" s="601"/>
      <c r="C321" s="602"/>
      <c r="D321" s="601"/>
      <c r="E321" s="327"/>
      <c r="F321" s="327"/>
      <c r="G321" s="604"/>
      <c r="H321" s="605"/>
      <c r="I321" s="605"/>
      <c r="J321" s="489"/>
      <c r="K321" s="326"/>
      <c r="P321" s="327"/>
      <c r="Q321" s="327"/>
      <c r="R321" s="327"/>
      <c r="S321" s="327"/>
      <c r="T321" s="327"/>
      <c r="U321" s="327"/>
    </row>
    <row r="322" spans="2:21">
      <c r="B322" s="601"/>
      <c r="C322" s="602"/>
      <c r="D322" s="601"/>
      <c r="E322" s="327"/>
      <c r="F322" s="327"/>
      <c r="G322" s="604"/>
      <c r="H322" s="605"/>
      <c r="I322" s="605"/>
      <c r="J322" s="489"/>
      <c r="K322" s="326"/>
      <c r="P322" s="327"/>
      <c r="Q322" s="327"/>
      <c r="R322" s="327"/>
      <c r="S322" s="327"/>
      <c r="T322" s="327"/>
      <c r="U322" s="327"/>
    </row>
    <row r="323" spans="2:21">
      <c r="B323" s="601"/>
      <c r="C323" s="602"/>
      <c r="D323" s="601"/>
      <c r="E323" s="327"/>
      <c r="F323" s="327"/>
      <c r="G323" s="604"/>
      <c r="H323" s="605"/>
      <c r="I323" s="605"/>
      <c r="J323" s="489"/>
      <c r="K323" s="326"/>
      <c r="P323" s="327"/>
      <c r="Q323" s="327"/>
      <c r="R323" s="327"/>
      <c r="S323" s="327"/>
      <c r="T323" s="327"/>
      <c r="U323" s="327"/>
    </row>
    <row r="324" spans="2:21">
      <c r="B324" s="601"/>
      <c r="C324" s="602"/>
      <c r="D324" s="601"/>
      <c r="E324" s="327"/>
      <c r="F324" s="327"/>
      <c r="G324" s="604"/>
      <c r="H324" s="605"/>
      <c r="I324" s="605"/>
      <c r="J324" s="548"/>
      <c r="K324" s="327"/>
      <c r="L324" s="327"/>
      <c r="M324" s="327"/>
      <c r="N324" s="327"/>
      <c r="O324" s="327"/>
      <c r="P324" s="327"/>
      <c r="Q324" s="327"/>
      <c r="R324" s="327"/>
      <c r="S324" s="327"/>
      <c r="T324" s="327"/>
      <c r="U324" s="327"/>
    </row>
    <row r="325" spans="2:21">
      <c r="B325" s="601"/>
      <c r="C325" s="602"/>
      <c r="D325" s="601"/>
      <c r="E325" s="327"/>
      <c r="F325" s="327"/>
      <c r="G325" s="604"/>
      <c r="H325" s="605"/>
      <c r="I325" s="605"/>
      <c r="J325" s="548"/>
      <c r="K325" s="327"/>
      <c r="L325" s="327"/>
      <c r="M325" s="327"/>
      <c r="N325" s="327"/>
      <c r="O325" s="327"/>
      <c r="P325" s="327"/>
      <c r="Q325" s="327"/>
      <c r="R325" s="327"/>
      <c r="S325" s="327"/>
      <c r="T325" s="327"/>
      <c r="U325" s="327"/>
    </row>
    <row r="326" spans="2:21">
      <c r="B326" s="601"/>
      <c r="C326" s="602"/>
      <c r="D326" s="601"/>
      <c r="E326" s="327"/>
      <c r="F326" s="327"/>
      <c r="G326" s="604"/>
      <c r="H326" s="605"/>
      <c r="I326" s="605"/>
      <c r="J326" s="548"/>
      <c r="K326" s="327"/>
      <c r="L326" s="327"/>
      <c r="M326" s="327"/>
      <c r="N326" s="327"/>
      <c r="O326" s="327"/>
      <c r="P326" s="327"/>
      <c r="Q326" s="327"/>
      <c r="R326" s="327"/>
      <c r="S326" s="327"/>
      <c r="T326" s="327"/>
      <c r="U326" s="327"/>
    </row>
    <row r="327" spans="2:21">
      <c r="B327" s="601"/>
      <c r="C327" s="602"/>
      <c r="D327" s="601"/>
      <c r="E327" s="327"/>
      <c r="F327" s="327"/>
      <c r="G327" s="604"/>
      <c r="H327" s="605"/>
      <c r="I327" s="605"/>
      <c r="J327" s="548"/>
      <c r="K327" s="327"/>
      <c r="L327" s="327"/>
      <c r="M327" s="327"/>
      <c r="N327" s="327"/>
      <c r="O327" s="327"/>
      <c r="P327" s="327"/>
      <c r="Q327" s="327"/>
      <c r="R327" s="327"/>
      <c r="S327" s="327"/>
      <c r="T327" s="327"/>
      <c r="U327" s="327"/>
    </row>
    <row r="328" spans="2:21">
      <c r="B328" s="601"/>
      <c r="C328" s="602"/>
      <c r="D328" s="601"/>
      <c r="E328" s="327"/>
      <c r="F328" s="327"/>
      <c r="G328" s="604"/>
      <c r="H328" s="605"/>
      <c r="I328" s="605"/>
      <c r="J328" s="548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</row>
    <row r="329" spans="2:21">
      <c r="B329" s="601"/>
      <c r="C329" s="602"/>
      <c r="D329" s="601"/>
      <c r="E329" s="327"/>
      <c r="F329" s="327"/>
      <c r="G329" s="604"/>
      <c r="H329" s="605"/>
      <c r="I329" s="605"/>
      <c r="J329" s="548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</row>
    <row r="330" spans="2:21">
      <c r="B330" s="601"/>
      <c r="C330" s="602"/>
      <c r="D330" s="601"/>
      <c r="E330" s="327"/>
      <c r="F330" s="327"/>
      <c r="G330" s="604"/>
      <c r="H330" s="605"/>
      <c r="I330" s="605"/>
      <c r="J330" s="548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</row>
    <row r="331" spans="2:21">
      <c r="B331" s="601"/>
      <c r="C331" s="602"/>
      <c r="D331" s="601"/>
      <c r="E331" s="327"/>
      <c r="F331" s="327"/>
      <c r="G331" s="604"/>
      <c r="H331" s="605"/>
      <c r="I331" s="605"/>
      <c r="J331" s="548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</row>
    <row r="332" spans="2:21">
      <c r="B332" s="601"/>
      <c r="C332" s="602"/>
      <c r="D332" s="601"/>
      <c r="E332" s="327"/>
      <c r="F332" s="327"/>
      <c r="G332" s="604"/>
      <c r="H332" s="605"/>
      <c r="I332" s="605"/>
      <c r="J332" s="548"/>
      <c r="K332" s="327"/>
      <c r="L332" s="327"/>
      <c r="M332" s="327"/>
      <c r="N332" s="327"/>
      <c r="O332" s="327"/>
      <c r="P332" s="327"/>
      <c r="Q332" s="327"/>
      <c r="R332" s="327"/>
      <c r="S332" s="327"/>
      <c r="T332" s="327"/>
      <c r="U332" s="327"/>
    </row>
    <row r="333" spans="2:21">
      <c r="B333" s="601"/>
      <c r="C333" s="602"/>
      <c r="D333" s="601"/>
      <c r="E333" s="327"/>
      <c r="F333" s="327"/>
      <c r="G333" s="604"/>
      <c r="H333" s="605"/>
      <c r="I333" s="605"/>
      <c r="J333" s="548"/>
      <c r="K333" s="327"/>
      <c r="L333" s="327"/>
      <c r="M333" s="327"/>
      <c r="N333" s="327"/>
      <c r="O333" s="327"/>
      <c r="P333" s="327"/>
      <c r="Q333" s="327"/>
      <c r="R333" s="327"/>
      <c r="S333" s="327"/>
      <c r="T333" s="327"/>
      <c r="U333" s="327"/>
    </row>
    <row r="334" spans="2:21">
      <c r="B334" s="601"/>
      <c r="C334" s="602"/>
      <c r="D334" s="601"/>
      <c r="E334" s="327"/>
      <c r="F334" s="327"/>
      <c r="G334" s="604"/>
      <c r="H334" s="605"/>
      <c r="I334" s="605"/>
      <c r="J334" s="548"/>
      <c r="K334" s="327"/>
      <c r="L334" s="327"/>
      <c r="M334" s="327"/>
      <c r="N334" s="327"/>
      <c r="O334" s="327"/>
      <c r="P334" s="327"/>
      <c r="Q334" s="327"/>
      <c r="R334" s="327"/>
      <c r="S334" s="327"/>
      <c r="T334" s="327"/>
      <c r="U334" s="327"/>
    </row>
    <row r="335" spans="2:21">
      <c r="B335" s="601"/>
      <c r="C335" s="602"/>
      <c r="D335" s="601"/>
      <c r="E335" s="327"/>
      <c r="F335" s="327"/>
      <c r="G335" s="604"/>
      <c r="H335" s="605"/>
      <c r="I335" s="605"/>
      <c r="J335" s="548"/>
      <c r="K335" s="327"/>
      <c r="L335" s="327"/>
      <c r="M335" s="327"/>
      <c r="N335" s="327"/>
      <c r="O335" s="327"/>
      <c r="P335" s="327"/>
      <c r="Q335" s="327"/>
      <c r="R335" s="327"/>
      <c r="S335" s="327"/>
      <c r="T335" s="327"/>
      <c r="U335" s="327"/>
    </row>
    <row r="336" spans="2:21">
      <c r="B336" s="601"/>
      <c r="C336" s="602"/>
      <c r="D336" s="601"/>
      <c r="E336" s="327"/>
      <c r="F336" s="327"/>
      <c r="G336" s="604"/>
      <c r="H336" s="605"/>
      <c r="I336" s="605"/>
      <c r="J336" s="548"/>
      <c r="K336" s="327"/>
      <c r="L336" s="327"/>
      <c r="M336" s="327"/>
      <c r="N336" s="327"/>
      <c r="O336" s="327"/>
      <c r="P336" s="327"/>
      <c r="Q336" s="327"/>
      <c r="R336" s="327"/>
      <c r="S336" s="327"/>
      <c r="T336" s="327"/>
      <c r="U336" s="327"/>
    </row>
    <row r="337" spans="2:21">
      <c r="B337" s="601"/>
      <c r="C337" s="602"/>
      <c r="D337" s="601"/>
      <c r="E337" s="327"/>
      <c r="F337" s="327"/>
      <c r="G337" s="604"/>
      <c r="H337" s="605"/>
      <c r="I337" s="605"/>
      <c r="J337" s="548"/>
      <c r="K337" s="327"/>
      <c r="L337" s="327"/>
      <c r="M337" s="327"/>
      <c r="N337" s="327"/>
      <c r="O337" s="327"/>
      <c r="P337" s="327"/>
      <c r="Q337" s="327"/>
      <c r="R337" s="327"/>
      <c r="S337" s="327"/>
      <c r="T337" s="327"/>
      <c r="U337" s="327"/>
    </row>
    <row r="338" spans="2:21">
      <c r="B338" s="601"/>
      <c r="C338" s="602"/>
      <c r="D338" s="601"/>
      <c r="E338" s="327"/>
      <c r="F338" s="327"/>
      <c r="G338" s="604"/>
      <c r="H338" s="605"/>
      <c r="I338" s="605"/>
      <c r="J338" s="548"/>
      <c r="K338" s="327"/>
      <c r="L338" s="327"/>
      <c r="M338" s="327"/>
      <c r="N338" s="327"/>
      <c r="O338" s="327"/>
      <c r="P338" s="327"/>
      <c r="Q338" s="327"/>
      <c r="R338" s="327"/>
      <c r="S338" s="327"/>
      <c r="T338" s="327"/>
      <c r="U338" s="327"/>
    </row>
    <row r="339" spans="2:21">
      <c r="B339" s="601"/>
      <c r="C339" s="602"/>
      <c r="D339" s="601"/>
      <c r="E339" s="327"/>
      <c r="F339" s="327"/>
      <c r="G339" s="604"/>
      <c r="H339" s="605"/>
      <c r="I339" s="605"/>
      <c r="J339" s="548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</row>
    <row r="340" spans="2:21">
      <c r="B340" s="601"/>
      <c r="C340" s="602"/>
      <c r="D340" s="601"/>
      <c r="E340" s="327"/>
      <c r="F340" s="327"/>
      <c r="G340" s="604"/>
      <c r="H340" s="605"/>
      <c r="I340" s="605"/>
      <c r="J340" s="548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</row>
    <row r="341" spans="2:21">
      <c r="B341" s="601"/>
      <c r="C341" s="602"/>
      <c r="D341" s="601"/>
      <c r="E341" s="327"/>
      <c r="F341" s="327"/>
      <c r="G341" s="604"/>
      <c r="H341" s="605"/>
      <c r="I341" s="605"/>
      <c r="J341" s="548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</row>
    <row r="342" spans="2:21">
      <c r="B342" s="601"/>
      <c r="C342" s="602"/>
      <c r="D342" s="601"/>
      <c r="E342" s="327"/>
      <c r="F342" s="327"/>
      <c r="G342" s="604"/>
      <c r="H342" s="605"/>
      <c r="I342" s="605"/>
      <c r="J342" s="548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</row>
    <row r="343" spans="2:21">
      <c r="B343" s="601"/>
      <c r="C343" s="602"/>
      <c r="D343" s="601"/>
      <c r="E343" s="327"/>
      <c r="F343" s="327"/>
      <c r="G343" s="604"/>
      <c r="H343" s="605"/>
      <c r="I343" s="605"/>
      <c r="J343" s="548"/>
      <c r="K343" s="327"/>
      <c r="L343" s="327"/>
      <c r="M343" s="327"/>
      <c r="N343" s="327"/>
      <c r="O343" s="327"/>
      <c r="P343" s="327"/>
      <c r="Q343" s="327"/>
      <c r="R343" s="327"/>
      <c r="S343" s="327"/>
      <c r="T343" s="327"/>
      <c r="U343" s="327"/>
    </row>
    <row r="344" spans="2:21">
      <c r="B344" s="601"/>
      <c r="C344" s="602"/>
      <c r="D344" s="601"/>
      <c r="E344" s="327"/>
      <c r="F344" s="327"/>
      <c r="G344" s="604"/>
      <c r="H344" s="605"/>
      <c r="I344" s="605"/>
      <c r="J344" s="548"/>
      <c r="K344" s="327"/>
      <c r="L344" s="327"/>
      <c r="M344" s="327"/>
      <c r="N344" s="327"/>
      <c r="O344" s="327"/>
      <c r="P344" s="327"/>
      <c r="Q344" s="327"/>
      <c r="R344" s="327"/>
      <c r="S344" s="327"/>
      <c r="T344" s="327"/>
      <c r="U344" s="327"/>
    </row>
    <row r="345" spans="2:21">
      <c r="B345" s="601"/>
      <c r="C345" s="602"/>
      <c r="D345" s="601"/>
      <c r="E345" s="327"/>
      <c r="F345" s="327"/>
      <c r="G345" s="604"/>
      <c r="H345" s="605"/>
      <c r="I345" s="605"/>
      <c r="J345" s="548"/>
      <c r="K345" s="327"/>
      <c r="L345" s="327"/>
      <c r="M345" s="327"/>
      <c r="N345" s="327"/>
      <c r="O345" s="327"/>
      <c r="P345" s="327"/>
      <c r="Q345" s="327"/>
      <c r="R345" s="327"/>
      <c r="S345" s="327"/>
      <c r="T345" s="327"/>
      <c r="U345" s="327"/>
    </row>
    <row r="346" spans="2:21">
      <c r="B346" s="601"/>
      <c r="C346" s="602"/>
      <c r="D346" s="601"/>
      <c r="E346" s="327"/>
      <c r="F346" s="327"/>
      <c r="G346" s="604"/>
      <c r="H346" s="605"/>
      <c r="I346" s="605"/>
      <c r="J346" s="548"/>
      <c r="K346" s="327"/>
      <c r="L346" s="327"/>
      <c r="M346" s="327"/>
      <c r="N346" s="327"/>
      <c r="O346" s="327"/>
      <c r="P346" s="327"/>
      <c r="Q346" s="327"/>
      <c r="R346" s="327"/>
      <c r="S346" s="327"/>
      <c r="T346" s="327"/>
      <c r="U346" s="327"/>
    </row>
    <row r="347" spans="2:21">
      <c r="B347" s="601"/>
      <c r="C347" s="602"/>
      <c r="D347" s="601"/>
      <c r="E347" s="327"/>
      <c r="F347" s="327"/>
      <c r="G347" s="604"/>
      <c r="H347" s="605"/>
      <c r="I347" s="605"/>
      <c r="J347" s="548"/>
      <c r="K347" s="327"/>
      <c r="L347" s="327"/>
      <c r="M347" s="327"/>
      <c r="N347" s="327"/>
      <c r="O347" s="327"/>
      <c r="P347" s="327"/>
      <c r="Q347" s="327"/>
      <c r="R347" s="327"/>
      <c r="S347" s="327"/>
      <c r="T347" s="327"/>
      <c r="U347" s="327"/>
    </row>
    <row r="348" spans="2:21">
      <c r="B348" s="601"/>
      <c r="C348" s="602"/>
      <c r="D348" s="601"/>
      <c r="E348" s="327"/>
      <c r="F348" s="327"/>
      <c r="G348" s="604"/>
      <c r="H348" s="605"/>
      <c r="I348" s="605"/>
      <c r="J348" s="548"/>
      <c r="K348" s="327"/>
      <c r="L348" s="327"/>
      <c r="M348" s="327"/>
      <c r="N348" s="327"/>
      <c r="O348" s="327"/>
      <c r="P348" s="327"/>
      <c r="Q348" s="327"/>
      <c r="R348" s="327"/>
      <c r="S348" s="327"/>
      <c r="T348" s="327"/>
      <c r="U348" s="327"/>
    </row>
    <row r="349" spans="2:21">
      <c r="B349" s="601"/>
      <c r="C349" s="602"/>
      <c r="D349" s="601"/>
      <c r="E349" s="327"/>
      <c r="F349" s="327"/>
      <c r="G349" s="604"/>
      <c r="H349" s="605"/>
      <c r="I349" s="605"/>
      <c r="J349" s="548"/>
      <c r="K349" s="327"/>
      <c r="L349" s="327"/>
      <c r="M349" s="327"/>
      <c r="N349" s="327"/>
      <c r="O349" s="327"/>
      <c r="P349" s="327"/>
      <c r="Q349" s="327"/>
      <c r="R349" s="327"/>
      <c r="S349" s="327"/>
      <c r="T349" s="327"/>
      <c r="U349" s="327"/>
    </row>
    <row r="350" spans="2:21">
      <c r="B350" s="601"/>
      <c r="C350" s="602"/>
      <c r="D350" s="601"/>
      <c r="E350" s="327"/>
      <c r="F350" s="327"/>
      <c r="G350" s="604"/>
      <c r="H350" s="605"/>
      <c r="I350" s="605"/>
      <c r="J350" s="548"/>
      <c r="K350" s="327"/>
      <c r="L350" s="327"/>
      <c r="M350" s="327"/>
      <c r="N350" s="327"/>
      <c r="O350" s="327"/>
      <c r="P350" s="327"/>
      <c r="Q350" s="327"/>
      <c r="R350" s="327"/>
      <c r="S350" s="327"/>
      <c r="T350" s="327"/>
      <c r="U350" s="327"/>
    </row>
    <row r="351" spans="2:21">
      <c r="B351" s="601"/>
      <c r="C351" s="602"/>
      <c r="D351" s="601"/>
      <c r="E351" s="327"/>
      <c r="F351" s="327"/>
      <c r="G351" s="604"/>
      <c r="H351" s="605"/>
      <c r="I351" s="605"/>
      <c r="J351" s="548"/>
      <c r="K351" s="327"/>
      <c r="L351" s="327"/>
      <c r="M351" s="327"/>
      <c r="N351" s="327"/>
      <c r="O351" s="327"/>
      <c r="P351" s="327"/>
      <c r="Q351" s="327"/>
      <c r="R351" s="327"/>
      <c r="S351" s="327"/>
      <c r="T351" s="327"/>
      <c r="U351" s="327"/>
    </row>
    <row r="352" spans="2:21">
      <c r="B352" s="601"/>
      <c r="C352" s="602"/>
      <c r="D352" s="601"/>
      <c r="E352" s="327"/>
      <c r="F352" s="327"/>
      <c r="G352" s="604"/>
      <c r="H352" s="605"/>
      <c r="I352" s="605"/>
      <c r="J352" s="548"/>
      <c r="K352" s="327"/>
      <c r="L352" s="327"/>
      <c r="M352" s="327"/>
      <c r="N352" s="327"/>
      <c r="O352" s="327"/>
      <c r="P352" s="327"/>
      <c r="Q352" s="327"/>
      <c r="R352" s="327"/>
      <c r="S352" s="327"/>
      <c r="T352" s="327"/>
      <c r="U352" s="327"/>
    </row>
    <row r="353" spans="2:21">
      <c r="B353" s="601"/>
      <c r="C353" s="602"/>
      <c r="D353" s="601"/>
      <c r="E353" s="327"/>
      <c r="F353" s="327"/>
      <c r="G353" s="604"/>
      <c r="H353" s="605"/>
      <c r="I353" s="605"/>
      <c r="J353" s="548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</row>
    <row r="354" spans="2:21">
      <c r="B354" s="601"/>
      <c r="C354" s="602"/>
      <c r="D354" s="601"/>
      <c r="E354" s="327"/>
      <c r="F354" s="327"/>
      <c r="G354" s="604"/>
      <c r="H354" s="605"/>
      <c r="I354" s="605"/>
      <c r="J354" s="548"/>
      <c r="K354" s="327"/>
      <c r="L354" s="327"/>
      <c r="M354" s="327"/>
      <c r="N354" s="327"/>
      <c r="O354" s="327"/>
      <c r="P354" s="327"/>
      <c r="Q354" s="327"/>
      <c r="R354" s="327"/>
      <c r="S354" s="327"/>
      <c r="T354" s="327"/>
      <c r="U354" s="327"/>
    </row>
    <row r="355" spans="2:21">
      <c r="B355" s="601"/>
      <c r="C355" s="602"/>
      <c r="D355" s="601"/>
      <c r="E355" s="327"/>
      <c r="F355" s="327"/>
      <c r="G355" s="604"/>
      <c r="H355" s="605"/>
      <c r="I355" s="605"/>
      <c r="J355" s="548"/>
      <c r="K355" s="327"/>
      <c r="L355" s="327"/>
      <c r="M355" s="327"/>
      <c r="N355" s="327"/>
      <c r="O355" s="327"/>
      <c r="P355" s="327"/>
      <c r="Q355" s="327"/>
      <c r="R355" s="327"/>
      <c r="S355" s="327"/>
      <c r="T355" s="327"/>
      <c r="U355" s="327"/>
    </row>
    <row r="356" spans="2:21">
      <c r="B356" s="601"/>
      <c r="C356" s="602"/>
      <c r="D356" s="601"/>
      <c r="E356" s="327"/>
      <c r="F356" s="327"/>
      <c r="G356" s="604"/>
      <c r="H356" s="605"/>
      <c r="I356" s="605"/>
      <c r="J356" s="548"/>
      <c r="K356" s="327"/>
      <c r="L356" s="327"/>
      <c r="M356" s="327"/>
      <c r="N356" s="327"/>
      <c r="O356" s="327"/>
      <c r="P356" s="327"/>
      <c r="Q356" s="327"/>
      <c r="R356" s="327"/>
      <c r="S356" s="327"/>
      <c r="T356" s="327"/>
      <c r="U356" s="327"/>
    </row>
    <row r="357" spans="2:21">
      <c r="B357" s="601"/>
      <c r="C357" s="602"/>
      <c r="D357" s="601"/>
      <c r="E357" s="327"/>
      <c r="F357" s="327"/>
      <c r="G357" s="604"/>
      <c r="H357" s="605"/>
      <c r="I357" s="605"/>
      <c r="J357" s="548"/>
      <c r="K357" s="327"/>
      <c r="L357" s="327"/>
      <c r="M357" s="327"/>
      <c r="N357" s="327"/>
      <c r="O357" s="327"/>
      <c r="P357" s="327"/>
      <c r="Q357" s="327"/>
      <c r="R357" s="327"/>
      <c r="S357" s="327"/>
      <c r="T357" s="327"/>
      <c r="U357" s="327"/>
    </row>
    <row r="358" spans="2:21">
      <c r="B358" s="601"/>
      <c r="C358" s="602"/>
      <c r="D358" s="601"/>
      <c r="E358" s="327"/>
      <c r="F358" s="327"/>
      <c r="G358" s="604"/>
      <c r="H358" s="605"/>
      <c r="I358" s="605"/>
      <c r="J358" s="548"/>
      <c r="K358" s="327"/>
      <c r="L358" s="327"/>
      <c r="M358" s="327"/>
      <c r="N358" s="327"/>
      <c r="O358" s="327"/>
      <c r="P358" s="327"/>
      <c r="Q358" s="327"/>
      <c r="R358" s="327"/>
      <c r="S358" s="327"/>
      <c r="T358" s="327"/>
      <c r="U358" s="327"/>
    </row>
    <row r="359" spans="2:21">
      <c r="B359" s="601"/>
      <c r="C359" s="602"/>
      <c r="D359" s="601"/>
      <c r="E359" s="327"/>
      <c r="F359" s="327"/>
      <c r="G359" s="604"/>
      <c r="H359" s="605"/>
      <c r="I359" s="605"/>
      <c r="J359" s="548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</row>
    <row r="360" spans="2:21">
      <c r="B360" s="601"/>
      <c r="C360" s="602"/>
      <c r="D360" s="601"/>
      <c r="E360" s="327"/>
      <c r="F360" s="327"/>
      <c r="G360" s="604"/>
      <c r="H360" s="605"/>
      <c r="I360" s="605"/>
      <c r="J360" s="548"/>
      <c r="K360" s="327"/>
      <c r="L360" s="327"/>
      <c r="M360" s="327"/>
      <c r="N360" s="327"/>
      <c r="O360" s="327"/>
      <c r="P360" s="327"/>
      <c r="Q360" s="327"/>
      <c r="R360" s="327"/>
      <c r="S360" s="327"/>
      <c r="T360" s="327"/>
      <c r="U360" s="327"/>
    </row>
    <row r="361" spans="2:21">
      <c r="B361" s="601"/>
      <c r="C361" s="602"/>
      <c r="D361" s="601"/>
      <c r="E361" s="327"/>
      <c r="F361" s="327"/>
      <c r="G361" s="604"/>
      <c r="H361" s="605"/>
      <c r="I361" s="605"/>
      <c r="J361" s="548"/>
      <c r="K361" s="327"/>
      <c r="L361" s="327"/>
      <c r="M361" s="327"/>
      <c r="N361" s="327"/>
      <c r="O361" s="327"/>
      <c r="P361" s="327"/>
      <c r="Q361" s="327"/>
      <c r="R361" s="327"/>
      <c r="S361" s="327"/>
      <c r="T361" s="327"/>
      <c r="U361" s="327"/>
    </row>
    <row r="362" spans="2:21">
      <c r="B362" s="601"/>
      <c r="C362" s="602"/>
      <c r="D362" s="601"/>
      <c r="E362" s="327"/>
      <c r="F362" s="327"/>
      <c r="G362" s="604"/>
      <c r="H362" s="605"/>
      <c r="I362" s="605"/>
      <c r="J362" s="548"/>
      <c r="K362" s="327"/>
      <c r="L362" s="327"/>
      <c r="M362" s="327"/>
      <c r="N362" s="327"/>
      <c r="O362" s="327"/>
      <c r="P362" s="327"/>
      <c r="Q362" s="327"/>
      <c r="R362" s="327"/>
      <c r="S362" s="327"/>
      <c r="T362" s="327"/>
      <c r="U362" s="327"/>
    </row>
    <row r="363" spans="2:21">
      <c r="B363" s="601"/>
      <c r="C363" s="602"/>
      <c r="D363" s="601"/>
      <c r="E363" s="327"/>
      <c r="F363" s="327"/>
      <c r="G363" s="604"/>
      <c r="H363" s="605"/>
      <c r="I363" s="605"/>
      <c r="J363" s="548"/>
      <c r="K363" s="327"/>
      <c r="L363" s="327"/>
      <c r="M363" s="327"/>
      <c r="N363" s="327"/>
      <c r="O363" s="327"/>
      <c r="P363" s="327"/>
      <c r="Q363" s="327"/>
      <c r="R363" s="327"/>
      <c r="S363" s="327"/>
      <c r="T363" s="327"/>
      <c r="U363" s="327"/>
    </row>
    <row r="364" spans="2:21">
      <c r="B364" s="601"/>
      <c r="C364" s="602"/>
      <c r="D364" s="601"/>
      <c r="E364" s="327"/>
      <c r="F364" s="327"/>
      <c r="G364" s="604"/>
      <c r="H364" s="605"/>
      <c r="I364" s="605"/>
      <c r="J364" s="548"/>
      <c r="K364" s="327"/>
      <c r="L364" s="327"/>
      <c r="M364" s="327"/>
      <c r="N364" s="327"/>
      <c r="O364" s="327"/>
      <c r="P364" s="327"/>
      <c r="Q364" s="327"/>
      <c r="R364" s="327"/>
      <c r="S364" s="327"/>
      <c r="T364" s="327"/>
      <c r="U364" s="327"/>
    </row>
    <row r="365" spans="2:21">
      <c r="B365" s="601"/>
      <c r="C365" s="602"/>
      <c r="D365" s="601"/>
      <c r="E365" s="327"/>
      <c r="F365" s="327"/>
      <c r="G365" s="604"/>
      <c r="H365" s="605"/>
      <c r="I365" s="605"/>
      <c r="J365" s="548"/>
      <c r="K365" s="327"/>
      <c r="L365" s="327"/>
      <c r="M365" s="327"/>
      <c r="N365" s="327"/>
      <c r="O365" s="327"/>
      <c r="P365" s="327"/>
      <c r="Q365" s="327"/>
      <c r="R365" s="327"/>
      <c r="S365" s="327"/>
      <c r="T365" s="327"/>
      <c r="U365" s="327"/>
    </row>
    <row r="366" spans="2:21">
      <c r="B366" s="601"/>
      <c r="C366" s="602"/>
      <c r="D366" s="601"/>
      <c r="E366" s="327"/>
      <c r="F366" s="327"/>
      <c r="G366" s="604"/>
      <c r="H366" s="605"/>
      <c r="I366" s="605"/>
      <c r="J366" s="548"/>
      <c r="K366" s="327"/>
      <c r="L366" s="327"/>
      <c r="M366" s="327"/>
      <c r="N366" s="327"/>
      <c r="O366" s="327"/>
      <c r="P366" s="327"/>
      <c r="Q366" s="327"/>
      <c r="R366" s="327"/>
      <c r="S366" s="327"/>
      <c r="T366" s="327"/>
      <c r="U366" s="327"/>
    </row>
    <row r="367" spans="2:21">
      <c r="B367" s="601"/>
      <c r="C367" s="602"/>
      <c r="D367" s="601"/>
      <c r="E367" s="327"/>
      <c r="F367" s="327"/>
      <c r="G367" s="604"/>
      <c r="H367" s="605"/>
      <c r="I367" s="605"/>
      <c r="J367" s="548"/>
      <c r="K367" s="327"/>
      <c r="L367" s="327"/>
      <c r="M367" s="327"/>
      <c r="N367" s="327"/>
      <c r="O367" s="327"/>
      <c r="P367" s="327"/>
      <c r="Q367" s="327"/>
      <c r="R367" s="327"/>
      <c r="S367" s="327"/>
      <c r="T367" s="327"/>
      <c r="U367" s="327"/>
    </row>
    <row r="368" spans="2:21">
      <c r="B368" s="601"/>
      <c r="C368" s="602"/>
      <c r="D368" s="601"/>
      <c r="E368" s="327"/>
      <c r="F368" s="327"/>
      <c r="G368" s="604"/>
      <c r="H368" s="605"/>
      <c r="I368" s="605"/>
      <c r="J368" s="548"/>
      <c r="K368" s="327"/>
      <c r="L368" s="327"/>
      <c r="M368" s="327"/>
      <c r="N368" s="327"/>
      <c r="O368" s="327"/>
      <c r="P368" s="327"/>
      <c r="Q368" s="327"/>
      <c r="R368" s="327"/>
      <c r="S368" s="327"/>
      <c r="T368" s="327"/>
      <c r="U368" s="327"/>
    </row>
    <row r="369" spans="2:21">
      <c r="B369" s="601"/>
      <c r="C369" s="602"/>
      <c r="D369" s="601"/>
      <c r="E369" s="327"/>
      <c r="F369" s="327"/>
      <c r="G369" s="604"/>
      <c r="H369" s="605"/>
      <c r="I369" s="605"/>
      <c r="J369" s="548"/>
      <c r="K369" s="327"/>
      <c r="L369" s="327"/>
      <c r="M369" s="327"/>
      <c r="N369" s="327"/>
      <c r="O369" s="327"/>
      <c r="P369" s="327"/>
      <c r="Q369" s="327"/>
      <c r="R369" s="327"/>
      <c r="S369" s="327"/>
      <c r="T369" s="327"/>
      <c r="U369" s="327"/>
    </row>
    <row r="370" spans="2:21">
      <c r="B370" s="601"/>
      <c r="C370" s="602"/>
      <c r="D370" s="601"/>
      <c r="E370" s="327"/>
      <c r="F370" s="327"/>
      <c r="G370" s="604"/>
      <c r="H370" s="605"/>
      <c r="I370" s="605"/>
      <c r="J370" s="548"/>
      <c r="K370" s="327"/>
      <c r="L370" s="327"/>
      <c r="M370" s="327"/>
      <c r="N370" s="327"/>
      <c r="O370" s="327"/>
      <c r="P370" s="327"/>
      <c r="Q370" s="327"/>
      <c r="R370" s="327"/>
      <c r="S370" s="327"/>
      <c r="T370" s="327"/>
      <c r="U370" s="327"/>
    </row>
    <row r="371" spans="2:21">
      <c r="B371" s="601"/>
      <c r="C371" s="602"/>
      <c r="D371" s="601"/>
      <c r="E371" s="327"/>
      <c r="F371" s="327"/>
      <c r="G371" s="604"/>
      <c r="H371" s="605"/>
      <c r="I371" s="605"/>
      <c r="J371" s="548"/>
      <c r="K371" s="327"/>
      <c r="L371" s="327"/>
      <c r="M371" s="327"/>
      <c r="N371" s="327"/>
      <c r="O371" s="327"/>
      <c r="P371" s="327"/>
      <c r="Q371" s="327"/>
      <c r="R371" s="327"/>
      <c r="S371" s="327"/>
      <c r="T371" s="327"/>
      <c r="U371" s="327"/>
    </row>
    <row r="372" spans="2:21">
      <c r="B372" s="601"/>
      <c r="C372" s="602"/>
      <c r="D372" s="601"/>
      <c r="E372" s="327"/>
      <c r="F372" s="327"/>
      <c r="G372" s="604"/>
      <c r="H372" s="605"/>
      <c r="I372" s="605"/>
      <c r="J372" s="548"/>
      <c r="K372" s="327"/>
      <c r="L372" s="327"/>
      <c r="M372" s="327"/>
      <c r="N372" s="327"/>
      <c r="O372" s="327"/>
      <c r="P372" s="327"/>
      <c r="Q372" s="327"/>
      <c r="R372" s="327"/>
      <c r="S372" s="327"/>
      <c r="T372" s="327"/>
      <c r="U372" s="327"/>
    </row>
    <row r="373" spans="2:21">
      <c r="B373" s="601"/>
      <c r="C373" s="602"/>
      <c r="D373" s="601"/>
      <c r="E373" s="327"/>
      <c r="F373" s="327"/>
      <c r="G373" s="604"/>
      <c r="H373" s="605"/>
      <c r="I373" s="605"/>
      <c r="J373" s="548"/>
      <c r="K373" s="327"/>
      <c r="L373" s="327"/>
      <c r="M373" s="327"/>
      <c r="N373" s="327"/>
      <c r="O373" s="327"/>
      <c r="P373" s="327"/>
      <c r="Q373" s="327"/>
      <c r="R373" s="327"/>
      <c r="S373" s="327"/>
      <c r="T373" s="327"/>
      <c r="U373" s="327"/>
    </row>
    <row r="374" spans="2:21">
      <c r="B374" s="601"/>
      <c r="C374" s="602"/>
      <c r="D374" s="601"/>
      <c r="E374" s="327"/>
      <c r="F374" s="327"/>
      <c r="G374" s="604"/>
      <c r="H374" s="605"/>
      <c r="I374" s="605"/>
      <c r="J374" s="548"/>
      <c r="K374" s="327"/>
      <c r="L374" s="327"/>
      <c r="M374" s="327"/>
      <c r="N374" s="327"/>
      <c r="O374" s="327"/>
      <c r="P374" s="327"/>
      <c r="Q374" s="327"/>
      <c r="R374" s="327"/>
      <c r="S374" s="327"/>
      <c r="T374" s="327"/>
      <c r="U374" s="327"/>
    </row>
    <row r="375" spans="2:21">
      <c r="B375" s="601"/>
      <c r="C375" s="602"/>
      <c r="D375" s="601"/>
      <c r="E375" s="327"/>
      <c r="F375" s="327"/>
      <c r="G375" s="604"/>
      <c r="H375" s="605"/>
      <c r="I375" s="605"/>
      <c r="J375" s="548"/>
      <c r="K375" s="327"/>
      <c r="L375" s="327"/>
      <c r="M375" s="327"/>
      <c r="N375" s="327"/>
      <c r="O375" s="327"/>
      <c r="P375" s="327"/>
      <c r="Q375" s="327"/>
      <c r="R375" s="327"/>
      <c r="S375" s="327"/>
      <c r="T375" s="327"/>
      <c r="U375" s="327"/>
    </row>
    <row r="376" spans="2:21">
      <c r="B376" s="601"/>
      <c r="C376" s="602"/>
      <c r="D376" s="601"/>
      <c r="E376" s="327"/>
      <c r="F376" s="327"/>
      <c r="G376" s="604"/>
      <c r="H376" s="605"/>
      <c r="I376" s="605"/>
      <c r="J376" s="548"/>
      <c r="K376" s="327"/>
      <c r="L376" s="327"/>
      <c r="M376" s="327"/>
      <c r="N376" s="327"/>
      <c r="O376" s="327"/>
      <c r="P376" s="327"/>
      <c r="Q376" s="327"/>
      <c r="R376" s="327"/>
      <c r="S376" s="327"/>
      <c r="T376" s="327"/>
      <c r="U376" s="327"/>
    </row>
    <row r="377" spans="2:21">
      <c r="B377" s="601"/>
      <c r="C377" s="602"/>
      <c r="D377" s="601"/>
      <c r="E377" s="327"/>
      <c r="F377" s="327"/>
      <c r="G377" s="604"/>
      <c r="H377" s="605"/>
      <c r="I377" s="605"/>
      <c r="J377" s="548"/>
      <c r="K377" s="327"/>
      <c r="L377" s="327"/>
      <c r="M377" s="327"/>
      <c r="N377" s="327"/>
      <c r="O377" s="327"/>
      <c r="P377" s="327"/>
      <c r="Q377" s="327"/>
      <c r="R377" s="327"/>
      <c r="S377" s="327"/>
      <c r="T377" s="327"/>
      <c r="U377" s="327"/>
    </row>
    <row r="378" spans="2:21">
      <c r="B378" s="601"/>
      <c r="C378" s="602"/>
      <c r="D378" s="601"/>
      <c r="E378" s="327"/>
      <c r="F378" s="327"/>
      <c r="G378" s="604"/>
      <c r="H378" s="605"/>
      <c r="I378" s="605"/>
      <c r="J378" s="548"/>
      <c r="K378" s="327"/>
      <c r="L378" s="327"/>
      <c r="M378" s="327"/>
      <c r="N378" s="327"/>
      <c r="O378" s="327"/>
      <c r="P378" s="327"/>
      <c r="Q378" s="327"/>
      <c r="R378" s="327"/>
      <c r="S378" s="327"/>
      <c r="T378" s="327"/>
      <c r="U378" s="327"/>
    </row>
    <row r="379" spans="2:21">
      <c r="B379" s="601"/>
      <c r="C379" s="602"/>
      <c r="D379" s="601"/>
      <c r="E379" s="327"/>
      <c r="F379" s="327"/>
      <c r="G379" s="604"/>
      <c r="H379" s="605"/>
      <c r="I379" s="605"/>
      <c r="J379" s="548"/>
      <c r="K379" s="327"/>
      <c r="L379" s="327"/>
      <c r="M379" s="327"/>
      <c r="N379" s="327"/>
      <c r="O379" s="327"/>
      <c r="P379" s="327"/>
      <c r="Q379" s="327"/>
      <c r="R379" s="327"/>
      <c r="S379" s="327"/>
      <c r="T379" s="327"/>
      <c r="U379" s="327"/>
    </row>
    <row r="380" spans="2:21">
      <c r="B380" s="601"/>
      <c r="C380" s="602"/>
      <c r="D380" s="601"/>
      <c r="E380" s="327"/>
      <c r="F380" s="327"/>
      <c r="G380" s="604"/>
      <c r="H380" s="605"/>
      <c r="I380" s="605"/>
      <c r="J380" s="548"/>
      <c r="K380" s="327"/>
      <c r="L380" s="327"/>
      <c r="M380" s="327"/>
      <c r="N380" s="327"/>
      <c r="O380" s="327"/>
      <c r="P380" s="327"/>
      <c r="Q380" s="327"/>
      <c r="R380" s="327"/>
      <c r="S380" s="327"/>
      <c r="T380" s="327"/>
      <c r="U380" s="327"/>
    </row>
    <row r="381" spans="2:21">
      <c r="B381" s="601"/>
      <c r="C381" s="602"/>
      <c r="D381" s="601"/>
      <c r="E381" s="327"/>
      <c r="F381" s="327"/>
      <c r="R381" s="326"/>
    </row>
    <row r="382" spans="2:21">
      <c r="B382" s="601"/>
      <c r="C382" s="602"/>
      <c r="D382" s="601"/>
      <c r="E382" s="327"/>
      <c r="F382" s="327"/>
    </row>
    <row r="383" spans="2:21">
      <c r="B383" s="601"/>
      <c r="C383" s="602"/>
      <c r="D383" s="601"/>
      <c r="E383" s="327"/>
      <c r="F383" s="327"/>
    </row>
    <row r="384" spans="2:21">
      <c r="B384" s="601"/>
      <c r="C384" s="602"/>
      <c r="D384" s="601"/>
      <c r="E384" s="327"/>
      <c r="F384" s="327"/>
    </row>
    <row r="385" spans="2:6">
      <c r="B385" s="601"/>
      <c r="C385" s="602"/>
      <c r="D385" s="601"/>
      <c r="E385" s="327"/>
      <c r="F385" s="327"/>
    </row>
    <row r="386" spans="2:6">
      <c r="B386" s="601"/>
      <c r="C386" s="602"/>
      <c r="D386" s="601"/>
      <c r="E386" s="327"/>
      <c r="F386" s="327"/>
    </row>
    <row r="387" spans="2:6">
      <c r="B387" s="601"/>
      <c r="C387" s="602"/>
      <c r="D387" s="601"/>
      <c r="E387" s="327"/>
      <c r="F387" s="327"/>
    </row>
    <row r="388" spans="2:6">
      <c r="B388" s="601"/>
      <c r="C388" s="602"/>
      <c r="D388" s="601"/>
      <c r="E388" s="327"/>
      <c r="F388" s="327"/>
    </row>
    <row r="389" spans="2:6">
      <c r="B389" s="601"/>
      <c r="C389" s="602"/>
      <c r="D389" s="601"/>
      <c r="E389" s="327"/>
      <c r="F389" s="327"/>
    </row>
    <row r="390" spans="2:6">
      <c r="B390" s="601"/>
      <c r="C390" s="602"/>
      <c r="D390" s="601"/>
      <c r="E390" s="327"/>
      <c r="F390" s="327"/>
    </row>
    <row r="391" spans="2:6">
      <c r="B391" s="601"/>
      <c r="C391" s="602"/>
      <c r="D391" s="601"/>
      <c r="E391" s="327"/>
      <c r="F391" s="327"/>
    </row>
    <row r="392" spans="2:6">
      <c r="B392" s="601"/>
      <c r="C392" s="602"/>
      <c r="D392" s="601"/>
      <c r="E392" s="327"/>
      <c r="F392" s="327"/>
    </row>
    <row r="393" spans="2:6">
      <c r="B393" s="601"/>
      <c r="C393" s="602"/>
      <c r="D393" s="601"/>
      <c r="E393" s="327"/>
      <c r="F393" s="327"/>
    </row>
    <row r="394" spans="2:6">
      <c r="B394" s="601"/>
      <c r="C394" s="602"/>
      <c r="D394" s="601"/>
      <c r="E394" s="327"/>
      <c r="F394" s="327"/>
    </row>
    <row r="395" spans="2:6">
      <c r="B395" s="601"/>
      <c r="C395" s="602"/>
      <c r="D395" s="601"/>
      <c r="E395" s="327"/>
      <c r="F395" s="327"/>
    </row>
    <row r="396" spans="2:6">
      <c r="B396" s="601"/>
      <c r="C396" s="602"/>
      <c r="D396" s="601"/>
      <c r="E396" s="327"/>
      <c r="F396" s="327"/>
    </row>
    <row r="397" spans="2:6">
      <c r="B397" s="601"/>
      <c r="C397" s="602"/>
      <c r="D397" s="601"/>
      <c r="E397" s="327"/>
      <c r="F397" s="327"/>
    </row>
    <row r="398" spans="2:6">
      <c r="B398" s="601"/>
      <c r="C398" s="602"/>
      <c r="D398" s="601"/>
      <c r="E398" s="327"/>
      <c r="F398" s="327"/>
    </row>
    <row r="399" spans="2:6">
      <c r="B399" s="601"/>
      <c r="C399" s="602"/>
      <c r="D399" s="601"/>
      <c r="E399" s="327"/>
      <c r="F399" s="327"/>
    </row>
    <row r="400" spans="2:6">
      <c r="B400" s="601"/>
      <c r="C400" s="602"/>
      <c r="D400" s="601"/>
      <c r="E400" s="327"/>
      <c r="F400" s="327"/>
    </row>
    <row r="401" spans="2:6">
      <c r="B401" s="601"/>
      <c r="C401" s="602"/>
      <c r="D401" s="601"/>
      <c r="E401" s="327"/>
      <c r="F401" s="327"/>
    </row>
    <row r="402" spans="2:6">
      <c r="B402" s="601"/>
      <c r="C402" s="602"/>
      <c r="D402" s="601"/>
      <c r="E402" s="327"/>
      <c r="F402" s="327"/>
    </row>
    <row r="403" spans="2:6">
      <c r="B403" s="601"/>
      <c r="C403" s="602"/>
      <c r="D403" s="601"/>
      <c r="E403" s="327"/>
      <c r="F403" s="327"/>
    </row>
    <row r="404" spans="2:6">
      <c r="B404" s="601"/>
      <c r="C404" s="602"/>
      <c r="D404" s="601"/>
      <c r="E404" s="327"/>
      <c r="F404" s="327"/>
    </row>
    <row r="405" spans="2:6">
      <c r="B405" s="601"/>
      <c r="C405" s="602"/>
      <c r="D405" s="601"/>
      <c r="E405" s="327"/>
      <c r="F405" s="327"/>
    </row>
    <row r="406" spans="2:6">
      <c r="B406" s="601"/>
      <c r="C406" s="602"/>
      <c r="D406" s="601"/>
      <c r="E406" s="327"/>
      <c r="F406" s="327"/>
    </row>
    <row r="407" spans="2:6">
      <c r="B407" s="601"/>
      <c r="C407" s="602"/>
      <c r="D407" s="601"/>
      <c r="E407" s="327"/>
      <c r="F407" s="327"/>
    </row>
    <row r="408" spans="2:6">
      <c r="B408" s="601"/>
      <c r="C408" s="602"/>
      <c r="D408" s="601"/>
      <c r="E408" s="327"/>
      <c r="F408" s="327"/>
    </row>
    <row r="409" spans="2:6">
      <c r="B409" s="601"/>
      <c r="C409" s="602"/>
      <c r="D409" s="601"/>
      <c r="E409" s="327"/>
      <c r="F409" s="327"/>
    </row>
    <row r="410" spans="2:6">
      <c r="B410" s="601"/>
      <c r="C410" s="602"/>
      <c r="D410" s="601"/>
      <c r="E410" s="327"/>
      <c r="F410" s="327"/>
    </row>
    <row r="411" spans="2:6">
      <c r="B411" s="601"/>
      <c r="C411" s="602"/>
      <c r="D411" s="601"/>
      <c r="E411" s="327"/>
      <c r="F411" s="327"/>
    </row>
    <row r="412" spans="2:6">
      <c r="B412" s="601"/>
      <c r="C412" s="602"/>
      <c r="D412" s="601"/>
      <c r="E412" s="327"/>
      <c r="F412" s="327"/>
    </row>
    <row r="413" spans="2:6">
      <c r="B413" s="601"/>
      <c r="C413" s="602"/>
      <c r="D413" s="601"/>
      <c r="E413" s="327"/>
      <c r="F413" s="327"/>
    </row>
    <row r="414" spans="2:6">
      <c r="B414" s="601"/>
      <c r="C414" s="602"/>
      <c r="D414" s="601"/>
      <c r="E414" s="327"/>
      <c r="F414" s="327"/>
    </row>
    <row r="415" spans="2:6">
      <c r="B415" s="601"/>
      <c r="C415" s="602"/>
      <c r="D415" s="601"/>
      <c r="E415" s="327"/>
      <c r="F415" s="327"/>
    </row>
    <row r="416" spans="2:6">
      <c r="B416" s="601"/>
      <c r="C416" s="602"/>
      <c r="D416" s="601"/>
      <c r="E416" s="327"/>
      <c r="F416" s="327"/>
    </row>
    <row r="417" spans="2:6">
      <c r="B417" s="601"/>
      <c r="C417" s="602"/>
      <c r="D417" s="601"/>
      <c r="E417" s="327"/>
      <c r="F417" s="327"/>
    </row>
    <row r="418" spans="2:6">
      <c r="B418" s="601"/>
      <c r="C418" s="602"/>
      <c r="D418" s="601"/>
      <c r="E418" s="327"/>
      <c r="F418" s="327"/>
    </row>
    <row r="419" spans="2:6">
      <c r="B419" s="601"/>
      <c r="C419" s="602"/>
      <c r="D419" s="601"/>
      <c r="E419" s="327"/>
      <c r="F419" s="327"/>
    </row>
    <row r="420" spans="2:6">
      <c r="B420" s="601"/>
      <c r="C420" s="602"/>
      <c r="D420" s="601"/>
      <c r="E420" s="327"/>
      <c r="F420" s="327"/>
    </row>
    <row r="421" spans="2:6">
      <c r="B421" s="601"/>
      <c r="C421" s="602"/>
      <c r="D421" s="601"/>
      <c r="E421" s="327"/>
      <c r="F421" s="327"/>
    </row>
    <row r="422" spans="2:6">
      <c r="B422" s="601"/>
      <c r="C422" s="602"/>
      <c r="D422" s="601"/>
      <c r="E422" s="327"/>
      <c r="F422" s="327"/>
    </row>
    <row r="423" spans="2:6">
      <c r="B423" s="601"/>
      <c r="C423" s="602"/>
      <c r="D423" s="601"/>
      <c r="E423" s="327"/>
      <c r="F423" s="327"/>
    </row>
    <row r="424" spans="2:6">
      <c r="B424" s="601"/>
      <c r="C424" s="602"/>
      <c r="D424" s="601"/>
      <c r="E424" s="327"/>
      <c r="F424" s="327"/>
    </row>
    <row r="425" spans="2:6">
      <c r="B425" s="601"/>
      <c r="C425" s="602"/>
      <c r="D425" s="601"/>
      <c r="E425" s="327"/>
      <c r="F425" s="327"/>
    </row>
    <row r="426" spans="2:6">
      <c r="B426" s="601"/>
      <c r="C426" s="602"/>
      <c r="D426" s="601"/>
      <c r="E426" s="327"/>
      <c r="F426" s="327"/>
    </row>
    <row r="427" spans="2:6">
      <c r="B427" s="601"/>
      <c r="C427" s="602"/>
      <c r="D427" s="601"/>
      <c r="E427" s="327"/>
      <c r="F427" s="327"/>
    </row>
    <row r="428" spans="2:6">
      <c r="B428" s="601"/>
      <c r="C428" s="602"/>
      <c r="D428" s="601"/>
      <c r="E428" s="327"/>
      <c r="F428" s="327"/>
    </row>
    <row r="429" spans="2:6">
      <c r="B429" s="601"/>
      <c r="C429" s="602"/>
      <c r="D429" s="601"/>
      <c r="E429" s="327"/>
      <c r="F429" s="327"/>
    </row>
    <row r="430" spans="2:6">
      <c r="B430" s="601"/>
      <c r="C430" s="602"/>
      <c r="D430" s="601"/>
      <c r="E430" s="327"/>
      <c r="F430" s="327"/>
    </row>
    <row r="431" spans="2:6">
      <c r="B431" s="601"/>
      <c r="C431" s="602"/>
      <c r="D431" s="601"/>
      <c r="E431" s="327"/>
      <c r="F431" s="327"/>
    </row>
    <row r="432" spans="2:6">
      <c r="B432" s="601"/>
      <c r="C432" s="602"/>
      <c r="D432" s="601"/>
      <c r="E432" s="327"/>
      <c r="F432" s="327"/>
    </row>
    <row r="433" spans="2:6">
      <c r="B433" s="601"/>
      <c r="C433" s="602"/>
      <c r="D433" s="601"/>
      <c r="E433" s="327"/>
      <c r="F433" s="327"/>
    </row>
    <row r="434" spans="2:6">
      <c r="B434" s="601"/>
      <c r="C434" s="602"/>
      <c r="D434" s="601"/>
      <c r="E434" s="327"/>
      <c r="F434" s="327"/>
    </row>
    <row r="435" spans="2:6">
      <c r="B435" s="601"/>
      <c r="C435" s="602"/>
      <c r="D435" s="601"/>
      <c r="E435" s="327"/>
      <c r="F435" s="327"/>
    </row>
    <row r="436" spans="2:6">
      <c r="B436" s="601"/>
      <c r="C436" s="602"/>
      <c r="D436" s="601"/>
      <c r="E436" s="327"/>
      <c r="F436" s="327"/>
    </row>
    <row r="437" spans="2:6">
      <c r="B437" s="601"/>
      <c r="C437" s="602"/>
      <c r="D437" s="601"/>
      <c r="E437" s="327"/>
      <c r="F437" s="327"/>
    </row>
    <row r="438" spans="2:6">
      <c r="B438" s="601"/>
      <c r="C438" s="602"/>
      <c r="D438" s="601"/>
      <c r="E438" s="327"/>
      <c r="F438" s="327"/>
    </row>
    <row r="439" spans="2:6">
      <c r="B439" s="601"/>
      <c r="C439" s="602"/>
      <c r="D439" s="601"/>
      <c r="E439" s="327"/>
      <c r="F439" s="327"/>
    </row>
    <row r="440" spans="2:6">
      <c r="B440" s="601"/>
      <c r="C440" s="602"/>
      <c r="D440" s="601"/>
      <c r="E440" s="327"/>
      <c r="F440" s="327"/>
    </row>
    <row r="441" spans="2:6">
      <c r="B441" s="601"/>
      <c r="C441" s="602"/>
      <c r="D441" s="601"/>
      <c r="E441" s="327"/>
      <c r="F441" s="327"/>
    </row>
    <row r="442" spans="2:6">
      <c r="B442" s="601"/>
      <c r="C442" s="602"/>
      <c r="D442" s="601"/>
      <c r="E442" s="327"/>
      <c r="F442" s="327"/>
    </row>
    <row r="443" spans="2:6">
      <c r="B443" s="601"/>
      <c r="C443" s="602"/>
      <c r="D443" s="601"/>
      <c r="E443" s="327"/>
      <c r="F443" s="327"/>
    </row>
    <row r="444" spans="2:6">
      <c r="B444" s="601"/>
      <c r="C444" s="602"/>
      <c r="D444" s="601"/>
      <c r="E444" s="327"/>
      <c r="F444" s="327"/>
    </row>
    <row r="445" spans="2:6">
      <c r="B445" s="601"/>
      <c r="C445" s="602"/>
      <c r="D445" s="601"/>
      <c r="E445" s="327"/>
      <c r="F445" s="327"/>
    </row>
    <row r="446" spans="2:6">
      <c r="B446" s="601"/>
      <c r="C446" s="602"/>
      <c r="D446" s="601"/>
      <c r="E446" s="327"/>
      <c r="F446" s="327"/>
    </row>
    <row r="447" spans="2:6">
      <c r="B447" s="601"/>
      <c r="C447" s="602"/>
      <c r="D447" s="601"/>
      <c r="E447" s="327"/>
      <c r="F447" s="327"/>
    </row>
    <row r="448" spans="2:6">
      <c r="B448" s="601"/>
      <c r="C448" s="602"/>
      <c r="D448" s="601"/>
      <c r="E448" s="327"/>
      <c r="F448" s="327"/>
    </row>
    <row r="449" spans="2:6">
      <c r="B449" s="601"/>
      <c r="C449" s="602"/>
      <c r="D449" s="601"/>
      <c r="E449" s="327"/>
      <c r="F449" s="327"/>
    </row>
    <row r="450" spans="2:6">
      <c r="B450" s="601"/>
      <c r="C450" s="602"/>
      <c r="D450" s="601"/>
      <c r="E450" s="327"/>
      <c r="F450" s="327"/>
    </row>
    <row r="451" spans="2:6">
      <c r="B451" s="601"/>
      <c r="C451" s="602"/>
      <c r="D451" s="601"/>
      <c r="E451" s="327"/>
      <c r="F451" s="327"/>
    </row>
    <row r="452" spans="2:6">
      <c r="B452" s="601"/>
      <c r="C452" s="602"/>
      <c r="D452" s="601"/>
      <c r="E452" s="327"/>
      <c r="F452" s="327"/>
    </row>
    <row r="453" spans="2:6">
      <c r="B453" s="601"/>
      <c r="C453" s="602"/>
      <c r="D453" s="601"/>
      <c r="E453" s="327"/>
      <c r="F453" s="327"/>
    </row>
    <row r="454" spans="2:6">
      <c r="B454" s="601"/>
      <c r="C454" s="602"/>
      <c r="D454" s="601"/>
      <c r="E454" s="327"/>
      <c r="F454" s="327"/>
    </row>
    <row r="455" spans="2:6">
      <c r="B455" s="601"/>
      <c r="C455" s="602"/>
      <c r="D455" s="601"/>
      <c r="E455" s="327"/>
      <c r="F455" s="327"/>
    </row>
    <row r="456" spans="2:6">
      <c r="B456" s="601"/>
      <c r="C456" s="602"/>
      <c r="D456" s="601"/>
      <c r="E456" s="327"/>
      <c r="F456" s="327"/>
    </row>
    <row r="457" spans="2:6">
      <c r="B457" s="601"/>
      <c r="C457" s="602"/>
      <c r="D457" s="601"/>
      <c r="E457" s="327"/>
      <c r="F457" s="327"/>
    </row>
    <row r="458" spans="2:6">
      <c r="B458" s="601"/>
      <c r="C458" s="602"/>
      <c r="D458" s="601"/>
      <c r="E458" s="327"/>
      <c r="F458" s="327"/>
    </row>
    <row r="459" spans="2:6">
      <c r="B459" s="601"/>
      <c r="C459" s="602"/>
      <c r="D459" s="601"/>
      <c r="E459" s="327"/>
      <c r="F459" s="327"/>
    </row>
    <row r="460" spans="2:6">
      <c r="B460" s="601"/>
      <c r="C460" s="602"/>
      <c r="D460" s="601"/>
      <c r="E460" s="327"/>
      <c r="F460" s="327"/>
    </row>
    <row r="461" spans="2:6">
      <c r="B461" s="601"/>
      <c r="C461" s="602"/>
      <c r="D461" s="601"/>
      <c r="E461" s="327"/>
      <c r="F461" s="327"/>
    </row>
    <row r="462" spans="2:6">
      <c r="B462" s="601"/>
      <c r="C462" s="602"/>
      <c r="D462" s="601"/>
      <c r="E462" s="327"/>
      <c r="F462" s="327"/>
    </row>
    <row r="463" spans="2:6">
      <c r="B463" s="601"/>
      <c r="C463" s="602"/>
      <c r="D463" s="601"/>
      <c r="E463" s="327"/>
      <c r="F463" s="327"/>
    </row>
    <row r="464" spans="2:6">
      <c r="B464" s="601"/>
      <c r="C464" s="602"/>
      <c r="D464" s="601"/>
      <c r="E464" s="327"/>
      <c r="F464" s="327"/>
    </row>
    <row r="465" spans="2:6">
      <c r="B465" s="601"/>
      <c r="C465" s="602"/>
      <c r="D465" s="601"/>
      <c r="E465" s="327"/>
      <c r="F465" s="327"/>
    </row>
    <row r="466" spans="2:6">
      <c r="B466" s="601"/>
      <c r="C466" s="602"/>
      <c r="D466" s="601"/>
      <c r="E466" s="327"/>
      <c r="F466" s="327"/>
    </row>
    <row r="467" spans="2:6">
      <c r="B467" s="601"/>
      <c r="C467" s="602"/>
      <c r="D467" s="601"/>
      <c r="E467" s="327"/>
      <c r="F467" s="327"/>
    </row>
    <row r="468" spans="2:6">
      <c r="B468" s="601"/>
      <c r="C468" s="602"/>
      <c r="D468" s="601"/>
      <c r="E468" s="327"/>
      <c r="F468" s="327"/>
    </row>
    <row r="469" spans="2:6">
      <c r="B469" s="601"/>
      <c r="C469" s="602"/>
      <c r="D469" s="601"/>
      <c r="E469" s="327"/>
      <c r="F469" s="327"/>
    </row>
    <row r="470" spans="2:6">
      <c r="B470" s="601"/>
      <c r="C470" s="602"/>
      <c r="D470" s="601"/>
      <c r="E470" s="327"/>
      <c r="F470" s="327"/>
    </row>
    <row r="471" spans="2:6">
      <c r="B471" s="601"/>
      <c r="C471" s="602"/>
      <c r="D471" s="601"/>
      <c r="E471" s="327"/>
      <c r="F471" s="327"/>
    </row>
    <row r="472" spans="2:6">
      <c r="B472" s="601"/>
      <c r="C472" s="602"/>
      <c r="D472" s="601"/>
      <c r="E472" s="327"/>
      <c r="F472" s="327"/>
    </row>
    <row r="473" spans="2:6">
      <c r="B473" s="601"/>
      <c r="C473" s="602"/>
      <c r="D473" s="601"/>
      <c r="E473" s="327"/>
      <c r="F473" s="327"/>
    </row>
    <row r="474" spans="2:6">
      <c r="B474" s="601"/>
      <c r="C474" s="602"/>
      <c r="D474" s="601"/>
      <c r="E474" s="327"/>
      <c r="F474" s="327"/>
    </row>
    <row r="475" spans="2:6">
      <c r="B475" s="601"/>
      <c r="C475" s="602"/>
      <c r="D475" s="601"/>
      <c r="E475" s="327"/>
      <c r="F475" s="327"/>
    </row>
    <row r="476" spans="2:6">
      <c r="B476" s="601"/>
      <c r="C476" s="602"/>
      <c r="D476" s="601"/>
      <c r="E476" s="327"/>
      <c r="F476" s="327"/>
    </row>
    <row r="477" spans="2:6">
      <c r="B477" s="601"/>
      <c r="C477" s="602"/>
      <c r="D477" s="601"/>
      <c r="E477" s="327"/>
      <c r="F477" s="327"/>
    </row>
    <row r="478" spans="2:6">
      <c r="B478" s="601"/>
      <c r="C478" s="602"/>
      <c r="D478" s="601"/>
      <c r="E478" s="327"/>
      <c r="F478" s="327"/>
    </row>
    <row r="479" spans="2:6">
      <c r="B479" s="601"/>
      <c r="C479" s="602"/>
      <c r="D479" s="601"/>
      <c r="E479" s="327"/>
      <c r="F479" s="327"/>
    </row>
    <row r="480" spans="2:6">
      <c r="B480" s="601"/>
      <c r="C480" s="602"/>
      <c r="D480" s="601"/>
      <c r="E480" s="327"/>
      <c r="F480" s="327"/>
    </row>
    <row r="481" spans="2:6">
      <c r="B481" s="601"/>
      <c r="C481" s="602"/>
      <c r="D481" s="601"/>
      <c r="E481" s="327"/>
      <c r="F481" s="327"/>
    </row>
    <row r="482" spans="2:6">
      <c r="B482" s="601"/>
      <c r="C482" s="602"/>
      <c r="D482" s="601"/>
      <c r="E482" s="327"/>
      <c r="F482" s="327"/>
    </row>
    <row r="483" spans="2:6">
      <c r="B483" s="601"/>
      <c r="C483" s="602"/>
      <c r="D483" s="601"/>
      <c r="E483" s="327"/>
      <c r="F483" s="327"/>
    </row>
    <row r="484" spans="2:6">
      <c r="B484" s="601"/>
      <c r="C484" s="602"/>
      <c r="D484" s="601"/>
      <c r="E484" s="327"/>
      <c r="F484" s="327"/>
    </row>
    <row r="485" spans="2:6">
      <c r="B485" s="601"/>
      <c r="C485" s="602"/>
      <c r="D485" s="601"/>
      <c r="E485" s="327"/>
      <c r="F485" s="327"/>
    </row>
    <row r="486" spans="2:6">
      <c r="B486" s="601"/>
      <c r="C486" s="602"/>
      <c r="D486" s="601"/>
      <c r="E486" s="327"/>
      <c r="F486" s="327"/>
    </row>
    <row r="487" spans="2:6">
      <c r="B487" s="601"/>
      <c r="C487" s="602"/>
      <c r="D487" s="601"/>
      <c r="E487" s="327"/>
      <c r="F487" s="327"/>
    </row>
    <row r="488" spans="2:6">
      <c r="B488" s="601"/>
      <c r="C488" s="602"/>
      <c r="D488" s="601"/>
      <c r="E488" s="327"/>
      <c r="F488" s="327"/>
    </row>
    <row r="489" spans="2:6">
      <c r="B489" s="601"/>
      <c r="C489" s="602"/>
      <c r="D489" s="601"/>
      <c r="E489" s="327"/>
      <c r="F489" s="327"/>
    </row>
    <row r="490" spans="2:6">
      <c r="B490" s="601"/>
      <c r="C490" s="602"/>
      <c r="D490" s="601"/>
      <c r="E490" s="327"/>
      <c r="F490" s="327"/>
    </row>
    <row r="491" spans="2:6">
      <c r="B491" s="601"/>
      <c r="C491" s="602"/>
      <c r="D491" s="601"/>
      <c r="E491" s="327"/>
      <c r="F491" s="327"/>
    </row>
    <row r="492" spans="2:6">
      <c r="B492" s="601"/>
      <c r="C492" s="602"/>
      <c r="D492" s="601"/>
      <c r="E492" s="327"/>
      <c r="F492" s="327"/>
    </row>
    <row r="493" spans="2:6">
      <c r="B493" s="601"/>
      <c r="C493" s="602"/>
      <c r="D493" s="601"/>
      <c r="E493" s="327"/>
      <c r="F493" s="327"/>
    </row>
    <row r="494" spans="2:6">
      <c r="B494" s="601"/>
      <c r="C494" s="602"/>
      <c r="D494" s="601"/>
      <c r="E494" s="327"/>
      <c r="F494" s="327"/>
    </row>
    <row r="495" spans="2:6">
      <c r="B495" s="601"/>
      <c r="C495" s="602"/>
      <c r="D495" s="601"/>
      <c r="E495" s="327"/>
      <c r="F495" s="327"/>
    </row>
    <row r="496" spans="2:6">
      <c r="B496" s="601"/>
      <c r="C496" s="602"/>
      <c r="D496" s="601"/>
      <c r="E496" s="327"/>
      <c r="F496" s="327"/>
    </row>
    <row r="497" spans="2:6">
      <c r="B497" s="601"/>
      <c r="C497" s="602"/>
      <c r="D497" s="601"/>
      <c r="E497" s="327"/>
      <c r="F497" s="327"/>
    </row>
    <row r="498" spans="2:6">
      <c r="B498" s="601"/>
      <c r="C498" s="602"/>
      <c r="D498" s="601"/>
      <c r="E498" s="327"/>
      <c r="F498" s="327"/>
    </row>
    <row r="499" spans="2:6">
      <c r="B499" s="601"/>
      <c r="C499" s="602"/>
      <c r="D499" s="601"/>
      <c r="E499" s="327"/>
      <c r="F499" s="327"/>
    </row>
    <row r="500" spans="2:6">
      <c r="B500" s="601"/>
      <c r="C500" s="602"/>
      <c r="D500" s="601"/>
      <c r="E500" s="327"/>
      <c r="F500" s="327"/>
    </row>
    <row r="501" spans="2:6">
      <c r="B501" s="601"/>
      <c r="C501" s="602"/>
      <c r="D501" s="601"/>
      <c r="E501" s="327"/>
      <c r="F501" s="327"/>
    </row>
    <row r="502" spans="2:6">
      <c r="B502" s="601"/>
      <c r="C502" s="602"/>
      <c r="D502" s="601"/>
      <c r="E502" s="327"/>
      <c r="F502" s="327"/>
    </row>
    <row r="503" spans="2:6">
      <c r="B503" s="601"/>
      <c r="C503" s="602"/>
      <c r="D503" s="601"/>
      <c r="E503" s="327"/>
      <c r="F503" s="327"/>
    </row>
    <row r="504" spans="2:6">
      <c r="B504" s="601"/>
      <c r="C504" s="602"/>
      <c r="D504" s="601"/>
      <c r="E504" s="327"/>
      <c r="F504" s="327"/>
    </row>
    <row r="505" spans="2:6">
      <c r="B505" s="601"/>
      <c r="C505" s="602"/>
      <c r="D505" s="601"/>
      <c r="E505" s="327"/>
      <c r="F505" s="327"/>
    </row>
    <row r="506" spans="2:6">
      <c r="B506" s="601"/>
      <c r="C506" s="602"/>
      <c r="D506" s="601"/>
      <c r="E506" s="327"/>
      <c r="F506" s="327"/>
    </row>
    <row r="507" spans="2:6">
      <c r="B507" s="601"/>
      <c r="C507" s="602"/>
      <c r="D507" s="601"/>
      <c r="E507" s="327"/>
      <c r="F507" s="327"/>
    </row>
    <row r="508" spans="2:6">
      <c r="B508" s="601"/>
      <c r="C508" s="602"/>
      <c r="D508" s="601"/>
      <c r="E508" s="327"/>
      <c r="F508" s="327"/>
    </row>
    <row r="509" spans="2:6">
      <c r="B509" s="601"/>
      <c r="C509" s="602"/>
      <c r="D509" s="601"/>
      <c r="E509" s="327"/>
      <c r="F509" s="327"/>
    </row>
    <row r="510" spans="2:6">
      <c r="B510" s="601"/>
      <c r="C510" s="602"/>
      <c r="D510" s="601"/>
      <c r="E510" s="327"/>
      <c r="F510" s="327"/>
    </row>
    <row r="511" spans="2:6">
      <c r="B511" s="601"/>
      <c r="C511" s="602"/>
      <c r="D511" s="601"/>
      <c r="E511" s="327"/>
      <c r="F511" s="327"/>
    </row>
    <row r="512" spans="2:6">
      <c r="B512" s="601"/>
      <c r="C512" s="602"/>
      <c r="D512" s="601"/>
      <c r="E512" s="327"/>
      <c r="F512" s="327"/>
    </row>
    <row r="513" spans="2:6">
      <c r="B513" s="601"/>
      <c r="C513" s="602"/>
      <c r="D513" s="601"/>
      <c r="E513" s="327"/>
      <c r="F513" s="327"/>
    </row>
    <row r="514" spans="2:6">
      <c r="B514" s="601"/>
      <c r="C514" s="602"/>
      <c r="D514" s="601"/>
      <c r="E514" s="327"/>
      <c r="F514" s="327"/>
    </row>
    <row r="515" spans="2:6">
      <c r="B515" s="601"/>
      <c r="C515" s="602"/>
      <c r="D515" s="601"/>
      <c r="E515" s="327"/>
      <c r="F515" s="327"/>
    </row>
    <row r="516" spans="2:6">
      <c r="B516" s="601"/>
      <c r="C516" s="602"/>
      <c r="D516" s="601"/>
      <c r="E516" s="327"/>
      <c r="F516" s="327"/>
    </row>
    <row r="517" spans="2:6">
      <c r="B517" s="601"/>
      <c r="C517" s="602"/>
      <c r="D517" s="601"/>
      <c r="E517" s="327"/>
      <c r="F517" s="327"/>
    </row>
    <row r="518" spans="2:6">
      <c r="B518" s="601"/>
      <c r="C518" s="602"/>
      <c r="D518" s="601"/>
      <c r="E518" s="327"/>
      <c r="F518" s="327"/>
    </row>
    <row r="519" spans="2:6">
      <c r="B519" s="601"/>
      <c r="C519" s="602"/>
      <c r="D519" s="601"/>
      <c r="E519" s="327"/>
      <c r="F519" s="327"/>
    </row>
    <row r="520" spans="2:6">
      <c r="B520" s="601"/>
      <c r="C520" s="602"/>
      <c r="D520" s="601"/>
      <c r="E520" s="327"/>
      <c r="F520" s="327"/>
    </row>
    <row r="521" spans="2:6">
      <c r="B521" s="601"/>
      <c r="C521" s="602"/>
      <c r="D521" s="601"/>
      <c r="E521" s="327"/>
      <c r="F521" s="327"/>
    </row>
    <row r="522" spans="2:6">
      <c r="B522" s="601"/>
      <c r="C522" s="602"/>
      <c r="D522" s="601"/>
      <c r="E522" s="327"/>
      <c r="F522" s="327"/>
    </row>
    <row r="523" spans="2:6">
      <c r="B523" s="601"/>
      <c r="C523" s="602"/>
      <c r="D523" s="601"/>
      <c r="E523" s="327"/>
      <c r="F523" s="327"/>
    </row>
    <row r="524" spans="2:6">
      <c r="B524" s="601"/>
      <c r="C524" s="602"/>
      <c r="D524" s="601"/>
      <c r="E524" s="327"/>
      <c r="F524" s="327"/>
    </row>
    <row r="525" spans="2:6">
      <c r="B525" s="601"/>
      <c r="C525" s="602"/>
      <c r="D525" s="601"/>
      <c r="E525" s="327"/>
      <c r="F525" s="327"/>
    </row>
    <row r="526" spans="2:6">
      <c r="B526" s="601"/>
      <c r="C526" s="602"/>
      <c r="D526" s="601"/>
      <c r="E526" s="327"/>
      <c r="F526" s="327"/>
    </row>
    <row r="527" spans="2:6">
      <c r="B527" s="601"/>
      <c r="C527" s="602"/>
      <c r="D527" s="601"/>
      <c r="E527" s="327"/>
      <c r="F527" s="327"/>
    </row>
    <row r="528" spans="2:6">
      <c r="B528" s="601"/>
      <c r="C528" s="602"/>
      <c r="D528" s="601"/>
      <c r="E528" s="327"/>
      <c r="F528" s="327"/>
    </row>
    <row r="529" spans="2:6">
      <c r="B529" s="601"/>
      <c r="C529" s="602"/>
      <c r="D529" s="601"/>
      <c r="E529" s="327"/>
      <c r="F529" s="327"/>
    </row>
    <row r="530" spans="2:6">
      <c r="B530" s="601"/>
      <c r="C530" s="602"/>
      <c r="D530" s="601"/>
      <c r="E530" s="327"/>
      <c r="F530" s="327"/>
    </row>
    <row r="531" spans="2:6">
      <c r="B531" s="601"/>
      <c r="C531" s="602"/>
      <c r="D531" s="601"/>
      <c r="E531" s="327"/>
      <c r="F531" s="327"/>
    </row>
    <row r="532" spans="2:6">
      <c r="B532" s="601"/>
      <c r="C532" s="602"/>
      <c r="D532" s="601"/>
      <c r="E532" s="327"/>
      <c r="F532" s="327"/>
    </row>
    <row r="533" spans="2:6">
      <c r="B533" s="601"/>
      <c r="C533" s="602"/>
      <c r="D533" s="601"/>
      <c r="E533" s="327"/>
      <c r="F533" s="327"/>
    </row>
    <row r="534" spans="2:6">
      <c r="B534" s="601"/>
      <c r="C534" s="602"/>
      <c r="D534" s="601"/>
      <c r="E534" s="327"/>
      <c r="F534" s="327"/>
    </row>
    <row r="535" spans="2:6">
      <c r="B535" s="601"/>
      <c r="C535" s="602"/>
      <c r="D535" s="601"/>
      <c r="E535" s="327"/>
      <c r="F535" s="327"/>
    </row>
    <row r="536" spans="2:6">
      <c r="B536" s="601"/>
      <c r="C536" s="602"/>
      <c r="D536" s="601"/>
      <c r="E536" s="327"/>
      <c r="F536" s="327"/>
    </row>
    <row r="537" spans="2:6">
      <c r="B537" s="601"/>
      <c r="C537" s="602"/>
      <c r="D537" s="601"/>
      <c r="E537" s="327"/>
      <c r="F537" s="327"/>
    </row>
    <row r="538" spans="2:6">
      <c r="B538" s="601"/>
      <c r="C538" s="602"/>
      <c r="D538" s="601"/>
      <c r="E538" s="327"/>
      <c r="F538" s="327"/>
    </row>
    <row r="539" spans="2:6">
      <c r="B539" s="601"/>
      <c r="C539" s="602"/>
      <c r="D539" s="601"/>
      <c r="E539" s="327"/>
      <c r="F539" s="327"/>
    </row>
    <row r="540" spans="2:6">
      <c r="B540" s="601"/>
      <c r="C540" s="602"/>
      <c r="D540" s="601"/>
      <c r="E540" s="327"/>
      <c r="F540" s="327"/>
    </row>
    <row r="541" spans="2:6">
      <c r="B541" s="601"/>
      <c r="C541" s="602"/>
      <c r="D541" s="601"/>
      <c r="E541" s="327"/>
      <c r="F541" s="327"/>
    </row>
    <row r="542" spans="2:6">
      <c r="B542" s="601"/>
      <c r="C542" s="602"/>
      <c r="D542" s="601"/>
      <c r="E542" s="327"/>
      <c r="F542" s="327"/>
    </row>
    <row r="543" spans="2:6">
      <c r="B543" s="601"/>
      <c r="C543" s="602"/>
      <c r="D543" s="601"/>
      <c r="E543" s="327"/>
      <c r="F543" s="327"/>
    </row>
    <row r="544" spans="2:6">
      <c r="B544" s="601"/>
      <c r="C544" s="602"/>
      <c r="D544" s="601"/>
      <c r="E544" s="327"/>
      <c r="F544" s="327"/>
    </row>
    <row r="545" spans="2:6">
      <c r="B545" s="601"/>
      <c r="C545" s="602"/>
      <c r="D545" s="601"/>
      <c r="E545" s="327"/>
      <c r="F545" s="327"/>
    </row>
    <row r="546" spans="2:6">
      <c r="B546" s="601"/>
      <c r="C546" s="602"/>
      <c r="D546" s="601"/>
      <c r="E546" s="327"/>
      <c r="F546" s="327"/>
    </row>
    <row r="547" spans="2:6">
      <c r="B547" s="601"/>
      <c r="C547" s="602"/>
      <c r="D547" s="601"/>
      <c r="E547" s="327"/>
      <c r="F547" s="327"/>
    </row>
    <row r="548" spans="2:6">
      <c r="B548" s="601"/>
      <c r="C548" s="602"/>
      <c r="D548" s="601"/>
      <c r="E548" s="327"/>
      <c r="F548" s="327"/>
    </row>
    <row r="549" spans="2:6">
      <c r="B549" s="601"/>
      <c r="C549" s="602"/>
      <c r="D549" s="601"/>
      <c r="E549" s="327"/>
      <c r="F549" s="327"/>
    </row>
    <row r="550" spans="2:6">
      <c r="B550" s="601"/>
      <c r="C550" s="602"/>
      <c r="D550" s="601"/>
      <c r="E550" s="327"/>
      <c r="F550" s="327"/>
    </row>
    <row r="551" spans="2:6">
      <c r="B551" s="601"/>
      <c r="C551" s="602"/>
      <c r="D551" s="601"/>
      <c r="E551" s="327"/>
      <c r="F551" s="327"/>
    </row>
    <row r="552" spans="2:6">
      <c r="B552" s="601"/>
      <c r="C552" s="602"/>
      <c r="D552" s="601"/>
      <c r="E552" s="327"/>
      <c r="F552" s="327"/>
    </row>
    <row r="553" spans="2:6">
      <c r="B553" s="601"/>
      <c r="C553" s="602"/>
      <c r="D553" s="601"/>
      <c r="E553" s="327"/>
      <c r="F553" s="327"/>
    </row>
    <row r="554" spans="2:6">
      <c r="B554" s="601"/>
      <c r="C554" s="602"/>
      <c r="D554" s="601"/>
      <c r="E554" s="327"/>
      <c r="F554" s="327"/>
    </row>
    <row r="555" spans="2:6">
      <c r="B555" s="601"/>
      <c r="C555" s="602"/>
      <c r="D555" s="601"/>
      <c r="E555" s="327"/>
      <c r="F555" s="327"/>
    </row>
    <row r="556" spans="2:6">
      <c r="B556" s="601"/>
      <c r="C556" s="602"/>
      <c r="D556" s="601"/>
      <c r="E556" s="327"/>
      <c r="F556" s="327"/>
    </row>
    <row r="557" spans="2:6">
      <c r="B557" s="601"/>
      <c r="C557" s="602"/>
      <c r="D557" s="601"/>
      <c r="E557" s="327"/>
      <c r="F557" s="327"/>
    </row>
    <row r="558" spans="2:6">
      <c r="B558" s="601"/>
      <c r="C558" s="602"/>
      <c r="D558" s="601"/>
      <c r="E558" s="327"/>
      <c r="F558" s="327"/>
    </row>
    <row r="559" spans="2:6">
      <c r="B559" s="601"/>
      <c r="C559" s="602"/>
      <c r="D559" s="601"/>
      <c r="E559" s="327"/>
      <c r="F559" s="327"/>
    </row>
    <row r="560" spans="2:6">
      <c r="B560" s="601"/>
      <c r="C560" s="602"/>
      <c r="D560" s="601"/>
      <c r="E560" s="327"/>
      <c r="F560" s="327"/>
    </row>
    <row r="561" spans="2:6">
      <c r="B561" s="601"/>
      <c r="C561" s="602"/>
      <c r="D561" s="601"/>
      <c r="E561" s="327"/>
      <c r="F561" s="327"/>
    </row>
    <row r="562" spans="2:6">
      <c r="B562" s="601"/>
      <c r="C562" s="602"/>
      <c r="D562" s="601"/>
      <c r="E562" s="327"/>
      <c r="F562" s="327"/>
    </row>
    <row r="563" spans="2:6">
      <c r="B563" s="601"/>
      <c r="C563" s="602"/>
      <c r="D563" s="601"/>
      <c r="E563" s="327"/>
      <c r="F563" s="327"/>
    </row>
    <row r="564" spans="2:6">
      <c r="B564" s="601"/>
      <c r="C564" s="602"/>
      <c r="D564" s="601"/>
      <c r="E564" s="327"/>
      <c r="F564" s="327"/>
    </row>
    <row r="565" spans="2:6">
      <c r="B565" s="601"/>
      <c r="C565" s="602"/>
      <c r="D565" s="601"/>
      <c r="E565" s="327"/>
      <c r="F565" s="327"/>
    </row>
    <row r="566" spans="2:6">
      <c r="B566" s="601"/>
      <c r="C566" s="602"/>
      <c r="D566" s="601"/>
      <c r="E566" s="327"/>
      <c r="F566" s="327"/>
    </row>
    <row r="567" spans="2:6">
      <c r="B567" s="601"/>
      <c r="C567" s="602"/>
      <c r="D567" s="601"/>
      <c r="E567" s="327"/>
      <c r="F567" s="327"/>
    </row>
    <row r="568" spans="2:6">
      <c r="B568" s="601"/>
      <c r="C568" s="602"/>
      <c r="D568" s="601"/>
      <c r="E568" s="327"/>
      <c r="F568" s="327"/>
    </row>
    <row r="569" spans="2:6">
      <c r="B569" s="601"/>
      <c r="C569" s="602"/>
      <c r="D569" s="601"/>
      <c r="E569" s="327"/>
      <c r="F569" s="327"/>
    </row>
    <row r="570" spans="2:6">
      <c r="B570" s="601"/>
      <c r="C570" s="602"/>
      <c r="D570" s="601"/>
      <c r="E570" s="327"/>
      <c r="F570" s="327"/>
    </row>
    <row r="571" spans="2:6">
      <c r="B571" s="601"/>
      <c r="C571" s="602"/>
      <c r="D571" s="601"/>
      <c r="E571" s="327"/>
      <c r="F571" s="327"/>
    </row>
    <row r="572" spans="2:6">
      <c r="B572" s="601"/>
      <c r="C572" s="602"/>
      <c r="D572" s="601"/>
      <c r="E572" s="327"/>
      <c r="F572" s="327"/>
    </row>
    <row r="573" spans="2:6">
      <c r="B573" s="601"/>
      <c r="C573" s="602"/>
      <c r="D573" s="601"/>
      <c r="E573" s="327"/>
      <c r="F573" s="327"/>
    </row>
    <row r="574" spans="2:6">
      <c r="B574" s="601"/>
      <c r="C574" s="602"/>
      <c r="D574" s="601"/>
      <c r="E574" s="327"/>
      <c r="F574" s="327"/>
    </row>
    <row r="575" spans="2:6">
      <c r="B575" s="601"/>
      <c r="C575" s="602"/>
      <c r="D575" s="601"/>
      <c r="E575" s="327"/>
      <c r="F575" s="327"/>
    </row>
    <row r="576" spans="2:6">
      <c r="B576" s="601"/>
      <c r="C576" s="602"/>
      <c r="D576" s="601"/>
      <c r="E576" s="327"/>
      <c r="F576" s="327"/>
    </row>
    <row r="577" spans="2:6">
      <c r="B577" s="601"/>
      <c r="C577" s="602"/>
      <c r="D577" s="601"/>
      <c r="E577" s="327"/>
      <c r="F577" s="327"/>
    </row>
    <row r="578" spans="2:6">
      <c r="B578" s="601"/>
      <c r="C578" s="602"/>
      <c r="D578" s="601"/>
      <c r="E578" s="327"/>
      <c r="F578" s="327"/>
    </row>
    <row r="579" spans="2:6">
      <c r="B579" s="601"/>
      <c r="C579" s="602"/>
      <c r="D579" s="601"/>
      <c r="E579" s="327"/>
      <c r="F579" s="327"/>
    </row>
    <row r="580" spans="2:6">
      <c r="B580" s="601"/>
      <c r="C580" s="602"/>
      <c r="D580" s="601"/>
      <c r="E580" s="327"/>
      <c r="F580" s="327"/>
    </row>
    <row r="581" spans="2:6">
      <c r="B581" s="601"/>
      <c r="C581" s="602"/>
      <c r="D581" s="601"/>
      <c r="E581" s="327"/>
      <c r="F581" s="327"/>
    </row>
    <row r="582" spans="2:6">
      <c r="B582" s="601"/>
      <c r="C582" s="602"/>
      <c r="D582" s="601"/>
      <c r="E582" s="327"/>
      <c r="F582" s="327"/>
    </row>
    <row r="583" spans="2:6">
      <c r="E583" s="327"/>
      <c r="F583" s="327"/>
    </row>
    <row r="584" spans="2:6">
      <c r="E584" s="327"/>
      <c r="F584" s="327"/>
    </row>
    <row r="585" spans="2:6">
      <c r="E585" s="327"/>
      <c r="F585" s="327"/>
    </row>
    <row r="586" spans="2:6">
      <c r="E586" s="327"/>
      <c r="F586" s="327"/>
    </row>
    <row r="587" spans="2:6">
      <c r="E587" s="327"/>
      <c r="F587" s="327"/>
    </row>
    <row r="588" spans="2:6">
      <c r="E588" s="327"/>
      <c r="F588" s="327"/>
    </row>
    <row r="589" spans="2:6">
      <c r="E589" s="327"/>
      <c r="F589" s="327"/>
    </row>
    <row r="590" spans="2:6">
      <c r="E590" s="327"/>
      <c r="F590" s="327"/>
    </row>
    <row r="591" spans="2:6">
      <c r="E591" s="327"/>
      <c r="F591" s="327"/>
    </row>
    <row r="592" spans="2:6">
      <c r="E592" s="327"/>
      <c r="F592" s="327"/>
    </row>
    <row r="593" spans="5:6">
      <c r="E593" s="327"/>
      <c r="F593" s="327"/>
    </row>
    <row r="594" spans="5:6">
      <c r="E594" s="327"/>
      <c r="F594" s="327"/>
    </row>
    <row r="595" spans="5:6">
      <c r="E595" s="327"/>
      <c r="F595" s="327"/>
    </row>
    <row r="596" spans="5:6">
      <c r="E596" s="327"/>
      <c r="F596" s="327"/>
    </row>
    <row r="597" spans="5:6">
      <c r="E597" s="327"/>
      <c r="F597" s="327"/>
    </row>
    <row r="598" spans="5:6">
      <c r="E598" s="327"/>
      <c r="F598" s="327"/>
    </row>
    <row r="599" spans="5:6">
      <c r="E599" s="327"/>
      <c r="F599" s="327"/>
    </row>
    <row r="600" spans="5:6">
      <c r="E600" s="327"/>
      <c r="F600" s="327"/>
    </row>
    <row r="601" spans="5:6">
      <c r="E601" s="327"/>
      <c r="F601" s="327"/>
    </row>
    <row r="602" spans="5:6">
      <c r="E602" s="327"/>
      <c r="F602" s="327"/>
    </row>
    <row r="603" spans="5:6">
      <c r="E603" s="327"/>
      <c r="F603" s="327"/>
    </row>
    <row r="604" spans="5:6">
      <c r="E604" s="327"/>
      <c r="F604" s="327"/>
    </row>
    <row r="605" spans="5:6">
      <c r="E605" s="327"/>
      <c r="F605" s="327"/>
    </row>
    <row r="606" spans="5:6">
      <c r="E606" s="327"/>
      <c r="F606" s="327"/>
    </row>
    <row r="607" spans="5:6">
      <c r="E607" s="327"/>
      <c r="F607" s="327"/>
    </row>
    <row r="608" spans="5:6">
      <c r="E608" s="327"/>
      <c r="F608" s="327"/>
    </row>
    <row r="609" spans="5:6">
      <c r="E609" s="327"/>
      <c r="F609" s="327"/>
    </row>
    <row r="610" spans="5:6">
      <c r="E610" s="327"/>
      <c r="F610" s="327"/>
    </row>
    <row r="611" spans="5:6">
      <c r="E611" s="327"/>
      <c r="F611" s="327"/>
    </row>
    <row r="612" spans="5:6">
      <c r="E612" s="327"/>
      <c r="F612" s="327"/>
    </row>
    <row r="613" spans="5:6">
      <c r="E613" s="327"/>
      <c r="F613" s="327"/>
    </row>
    <row r="614" spans="5:6">
      <c r="E614" s="327"/>
      <c r="F614" s="327"/>
    </row>
    <row r="615" spans="5:6">
      <c r="E615" s="327"/>
      <c r="F615" s="327"/>
    </row>
    <row r="616" spans="5:6">
      <c r="E616" s="327"/>
      <c r="F616" s="327"/>
    </row>
    <row r="617" spans="5:6">
      <c r="E617" s="327"/>
      <c r="F617" s="327"/>
    </row>
    <row r="618" spans="5:6">
      <c r="E618" s="327"/>
      <c r="F618" s="327"/>
    </row>
    <row r="619" spans="5:6">
      <c r="E619" s="327"/>
      <c r="F619" s="327"/>
    </row>
    <row r="620" spans="5:6">
      <c r="E620" s="327"/>
      <c r="F620" s="327"/>
    </row>
    <row r="621" spans="5:6">
      <c r="E621" s="327"/>
      <c r="F621" s="327"/>
    </row>
    <row r="622" spans="5:6">
      <c r="E622" s="327"/>
      <c r="F622" s="327"/>
    </row>
    <row r="623" spans="5:6">
      <c r="E623" s="327"/>
      <c r="F623" s="327"/>
    </row>
    <row r="624" spans="5:6">
      <c r="E624" s="327"/>
      <c r="F624" s="327"/>
    </row>
    <row r="625" spans="5:6">
      <c r="E625" s="327"/>
      <c r="F625" s="327"/>
    </row>
    <row r="626" spans="5:6">
      <c r="E626" s="327"/>
      <c r="F626" s="327"/>
    </row>
    <row r="627" spans="5:6">
      <c r="E627" s="327"/>
      <c r="F627" s="327"/>
    </row>
    <row r="628" spans="5:6">
      <c r="E628" s="327"/>
      <c r="F628" s="327"/>
    </row>
    <row r="629" spans="5:6">
      <c r="E629" s="327"/>
      <c r="F629" s="327"/>
    </row>
    <row r="630" spans="5:6">
      <c r="E630" s="327"/>
      <c r="F630" s="327"/>
    </row>
    <row r="631" spans="5:6">
      <c r="E631" s="327"/>
      <c r="F631" s="327"/>
    </row>
    <row r="632" spans="5:6">
      <c r="E632" s="327"/>
      <c r="F632" s="327"/>
    </row>
    <row r="633" spans="5:6">
      <c r="E633" s="327"/>
      <c r="F633" s="327"/>
    </row>
    <row r="634" spans="5:6">
      <c r="E634" s="327"/>
      <c r="F634" s="327"/>
    </row>
    <row r="635" spans="5:6">
      <c r="E635" s="327"/>
      <c r="F635" s="327"/>
    </row>
    <row r="636" spans="5:6">
      <c r="E636" s="327"/>
      <c r="F636" s="327"/>
    </row>
    <row r="637" spans="5:6">
      <c r="E637" s="327"/>
      <c r="F637" s="327"/>
    </row>
    <row r="638" spans="5:6">
      <c r="E638" s="327"/>
      <c r="F638" s="327"/>
    </row>
    <row r="639" spans="5:6">
      <c r="E639" s="327"/>
      <c r="F639" s="327"/>
    </row>
    <row r="640" spans="5:6">
      <c r="E640" s="327"/>
      <c r="F640" s="327"/>
    </row>
    <row r="641" spans="5:6">
      <c r="E641" s="327"/>
      <c r="F641" s="327"/>
    </row>
    <row r="642" spans="5:6">
      <c r="E642" s="327"/>
      <c r="F642" s="327"/>
    </row>
    <row r="643" spans="5:6">
      <c r="E643" s="327"/>
      <c r="F643" s="327"/>
    </row>
    <row r="644" spans="5:6">
      <c r="E644" s="327"/>
      <c r="F644" s="327"/>
    </row>
    <row r="645" spans="5:6">
      <c r="E645" s="327"/>
      <c r="F645" s="327"/>
    </row>
  </sheetData>
  <mergeCells count="1">
    <mergeCell ref="B6:B7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/>
  <dimension ref="B3:AE32"/>
  <sheetViews>
    <sheetView rightToLeft="1" workbookViewId="0">
      <selection activeCell="AG28" sqref="AG28"/>
    </sheetView>
  </sheetViews>
  <sheetFormatPr defaultColWidth="9" defaultRowHeight="13.8"/>
  <cols>
    <col min="1" max="1" width="8.8984375" style="280" customWidth="1"/>
    <col min="2" max="2" width="13.3984375" style="280" bestFit="1" customWidth="1"/>
    <col min="3" max="3" width="15.296875" style="280" bestFit="1" customWidth="1"/>
    <col min="4" max="4" width="14.59765625" style="280" customWidth="1"/>
    <col min="5" max="5" width="14.59765625" style="280" hidden="1" customWidth="1"/>
    <col min="6" max="8" width="17.19921875" style="280" hidden="1" customWidth="1"/>
    <col min="9" max="9" width="17.19921875" style="280" customWidth="1"/>
    <col min="10" max="10" width="10.5" style="280" bestFit="1" customWidth="1"/>
    <col min="11" max="11" width="17.19921875" style="280" hidden="1" customWidth="1"/>
    <col min="12" max="12" width="13.8984375" style="280" bestFit="1" customWidth="1"/>
    <col min="13" max="14" width="14.3984375" style="280" hidden="1" customWidth="1"/>
    <col min="15" max="18" width="15.8984375" style="280" hidden="1" customWidth="1"/>
    <col min="19" max="19" width="13.3984375" style="280" hidden="1" customWidth="1"/>
    <col min="20" max="20" width="12.3984375" style="280" hidden="1" customWidth="1"/>
    <col min="21" max="21" width="12.3984375" style="292" hidden="1" customWidth="1"/>
    <col min="22" max="22" width="16.3984375" style="280" hidden="1" customWidth="1"/>
    <col min="23" max="26" width="14.59765625" style="409" hidden="1" customWidth="1"/>
    <col min="27" max="27" width="11.3984375" style="280" hidden="1" customWidth="1"/>
    <col min="28" max="28" width="8.3984375" style="280" bestFit="1" customWidth="1"/>
    <col min="29" max="29" width="13.3984375" style="280" bestFit="1" customWidth="1"/>
    <col min="30" max="30" width="10.3984375" style="280" bestFit="1" customWidth="1"/>
    <col min="31" max="31" width="12.8984375" style="280" customWidth="1"/>
    <col min="32" max="16384" width="9" style="280"/>
  </cols>
  <sheetData>
    <row r="3" spans="2:31"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410"/>
    </row>
    <row r="4" spans="2:31">
      <c r="B4" s="293" t="s">
        <v>561</v>
      </c>
      <c r="C4" s="294" t="s">
        <v>16</v>
      </c>
      <c r="D4" s="294" t="s">
        <v>184</v>
      </c>
      <c r="E4" s="294" t="s">
        <v>960</v>
      </c>
      <c r="F4" s="294" t="s">
        <v>961</v>
      </c>
      <c r="G4" s="294" t="s">
        <v>979</v>
      </c>
      <c r="H4" s="294" t="s">
        <v>962</v>
      </c>
      <c r="I4" s="294" t="s">
        <v>982</v>
      </c>
      <c r="J4" s="294" t="s">
        <v>980</v>
      </c>
      <c r="K4" s="294" t="s">
        <v>981</v>
      </c>
      <c r="L4" s="294" t="s">
        <v>953</v>
      </c>
      <c r="M4" s="487" t="s">
        <v>931</v>
      </c>
      <c r="N4" s="326" t="s">
        <v>930</v>
      </c>
      <c r="O4" s="326" t="s">
        <v>877</v>
      </c>
      <c r="P4" s="326" t="s">
        <v>951</v>
      </c>
      <c r="Q4" s="326" t="s">
        <v>744</v>
      </c>
      <c r="R4" s="326" t="s">
        <v>952</v>
      </c>
      <c r="S4" s="326" t="s">
        <v>611</v>
      </c>
      <c r="T4" s="326" t="s">
        <v>911</v>
      </c>
      <c r="U4" s="326" t="s">
        <v>745</v>
      </c>
      <c r="V4" s="326" t="s">
        <v>746</v>
      </c>
      <c r="W4" s="326" t="s">
        <v>908</v>
      </c>
      <c r="X4" s="326" t="s">
        <v>958</v>
      </c>
      <c r="Y4" s="326" t="s">
        <v>959</v>
      </c>
      <c r="Z4" s="326" t="s">
        <v>978</v>
      </c>
      <c r="AA4" s="326" t="s">
        <v>567</v>
      </c>
    </row>
    <row r="5" spans="2:31" ht="15.6">
      <c r="B5" s="606" t="s">
        <v>569</v>
      </c>
      <c r="C5" s="553" t="s">
        <v>28</v>
      </c>
      <c r="D5" s="553" t="s">
        <v>606</v>
      </c>
      <c r="E5" s="553">
        <v>1800</v>
      </c>
      <c r="F5" s="611">
        <v>135</v>
      </c>
      <c r="G5" s="611">
        <f>0.27*1.17</f>
        <v>0.31590000000000001</v>
      </c>
      <c r="H5" s="611">
        <f>טבלה21[[#This Row],[מחיר לקרטון לפני ]]/טבלה21[[#This Row],[כמות בקרטון ]]*1.17</f>
        <v>8.7749999999999995E-2</v>
      </c>
      <c r="I5" s="611">
        <f>טבלה21[[#This Row],[כמות ]]*טבלה21[[#This Row],[מתכלה אחרי]]</f>
        <v>0</v>
      </c>
      <c r="J5" s="611">
        <f>טבלה21[[#This Row],[כמות ]]*טבלה21[[#This Row],[מחיר יח'' אחרי ]]</f>
        <v>0</v>
      </c>
      <c r="K5" s="553">
        <f>SUM(טבלה21[[#This Row],[פימת קפה]:[קיטים מיוחדים]])</f>
        <v>0</v>
      </c>
      <c r="L5" s="553" t="str">
        <f>IF(טבלה21[[#This Row],[כמות ]]=0,"",טבלה21[[#This Row],[כמות ]])</f>
        <v/>
      </c>
      <c r="M5" s="553">
        <f>SUMIF(טבלה3[מקט],טבלה21[[#This Row],[קוד מוצר]],טבלה3[כמות])</f>
        <v>0</v>
      </c>
      <c r="N5" s="553">
        <f>SUMIF(טבלה321[מקט],טבלה21[[#This Row],[קוד מוצר]],טבלה321[כמות])</f>
        <v>0</v>
      </c>
      <c r="O5" s="553">
        <f>SUMIF(טבלה516[מקט],טבלה21[[#This Row],[קוד מוצר]],טבלה516[כמות])</f>
        <v>0</v>
      </c>
      <c r="P5" s="553">
        <f>SUMIF(טבלה5[מק"ט],טבלה21[[#This Row],[קוד מוצר]],טבלה5[כמות])</f>
        <v>0</v>
      </c>
      <c r="Q5" s="553">
        <f>SUMIF(טבלה8[מק"ט],טבלה21[[#This Row],[קוד מוצר]],טבלה8[הזמנה])</f>
        <v>0</v>
      </c>
      <c r="R5" s="553">
        <f>SUMIF(טבלה8[מק"ט],טבלה21[[#This Row],[קוד מוצר]],טבלה8[הזמנה])</f>
        <v>0</v>
      </c>
      <c r="S5" s="553">
        <f>SUMIF(טבלה23[מקט],טבלה21[[#This Row],[קוד מוצר]],טבלה23[כמות])</f>
        <v>0</v>
      </c>
      <c r="T5" s="553">
        <f>SUMIF(טבלה36[מקט],טבלה21[[#This Row],[קוד מוצר]],טבלה36[כמות])</f>
        <v>0</v>
      </c>
      <c r="U5" s="553">
        <f>SUMIF(טבלה33[מק"ט],טבלה21[[#This Row],[קוד מוצר]],טבלה33[הזמנה])</f>
        <v>0</v>
      </c>
      <c r="V5" s="553">
        <f>SUMIF(טבלה34[עמודה1],טבלה21[[#This Row],[קוד מוצר]],טבלה34[הזמנה])</f>
        <v>0</v>
      </c>
      <c r="W5" s="607">
        <f>SUMIF(טבלה35[עמודה1],טבלה21[[#This Row],[קוד מוצר]],טבלה35[הזמנה])</f>
        <v>0</v>
      </c>
      <c r="X5" s="607">
        <f>SUMIF(טבלה3338[מק"ט],טבלה21[[#This Row],[קוד מוצר]],טבלה3338[הזמנה])</f>
        <v>0</v>
      </c>
      <c r="Y5" s="607">
        <f>SUMIF(טבלה3540[עמודה1],טבלה21[[#This Row],[קוד מוצר]],טבלה3540[הזמנה])</f>
        <v>0</v>
      </c>
      <c r="Z5" s="607">
        <f>SUMIF(טבלה2327[מקט],טבלה21[[#This Row],[קוד מוצר]],טבלה2327[כמות])</f>
        <v>0</v>
      </c>
      <c r="AA5" s="553">
        <f>SUMIF(טבלה2426[מקט],טבלה21[[#This Row],[קוד מוצר]],טבלה2426[כמות])</f>
        <v>0</v>
      </c>
      <c r="AB5" s="379"/>
      <c r="AC5" s="380"/>
      <c r="AD5" s="379"/>
      <c r="AE5" s="379"/>
    </row>
    <row r="6" spans="2:31" ht="15.6">
      <c r="B6" s="606" t="s">
        <v>570</v>
      </c>
      <c r="C6" s="553" t="s">
        <v>29</v>
      </c>
      <c r="D6" s="553" t="s">
        <v>558</v>
      </c>
      <c r="E6" s="553">
        <v>25</v>
      </c>
      <c r="F6" s="611">
        <v>4</v>
      </c>
      <c r="G6" s="611">
        <f>0.27*1.17</f>
        <v>0.31590000000000001</v>
      </c>
      <c r="H6" s="611">
        <f>טבלה21[[#This Row],[מחיר לקרטון לפני ]]/טבלה21[[#This Row],[כמות בקרטון ]]*1.17</f>
        <v>0.18720000000000001</v>
      </c>
      <c r="I6" s="611">
        <f>טבלה21[[#This Row],[כמות ]]*טבלה21[[#This Row],[מתכלה אחרי]]</f>
        <v>0</v>
      </c>
      <c r="J6" s="611">
        <f>טבלה21[[#This Row],[כמות ]]*טבלה21[[#This Row],[מחיר יח'' אחרי ]]</f>
        <v>0</v>
      </c>
      <c r="K6" s="553">
        <f>SUM(טבלה21[[#This Row],[פימת קפה]:[קיטים מיוחדים]])</f>
        <v>0</v>
      </c>
      <c r="L6" s="553" t="str">
        <f>IF(טבלה21[[#This Row],[כמות ]]=0,"",טבלה21[[#This Row],[כמות ]])</f>
        <v/>
      </c>
      <c r="M6" s="553">
        <f>SUMIF(טבלה3[מקט],טבלה21[[#This Row],[קוד מוצר]],טבלה3[כמות])</f>
        <v>0</v>
      </c>
      <c r="N6" s="553">
        <f>SUMIF(טבלה321[מקט],טבלה21[[#This Row],[קוד מוצר]],טבלה321[כמות])</f>
        <v>0</v>
      </c>
      <c r="O6" s="553">
        <f>SUMIF(טבלה516[מקט],טבלה21[[#This Row],[קוד מוצר]],טבלה516[כמות])</f>
        <v>0</v>
      </c>
      <c r="P6" s="553">
        <f>SUMIF(טבלה5[מק"ט],טבלה21[[#This Row],[קוד מוצר]],טבלה5[כמות])</f>
        <v>0</v>
      </c>
      <c r="Q6" s="553">
        <f>SUMIF(טבלה8[מק"ט],טבלה21[[#This Row],[קוד מוצר]],טבלה8[הזמנה])</f>
        <v>0</v>
      </c>
      <c r="R6" s="553">
        <f>SUMIF(טבלה8[מק"ט],טבלה21[[#This Row],[קוד מוצר]],טבלה8[הזמנה])</f>
        <v>0</v>
      </c>
      <c r="S6" s="553">
        <f>SUMIF(טבלה23[מקט],טבלה21[[#This Row],[קוד מוצר]],טבלה23[כמות])</f>
        <v>0</v>
      </c>
      <c r="T6" s="553">
        <f>SUMIF(טבלה36[מקט],טבלה21[[#This Row],[קוד מוצר]],טבלה36[כמות])</f>
        <v>0</v>
      </c>
      <c r="U6" s="553">
        <f>SUMIF(טבלה33[מק"ט],טבלה21[[#This Row],[קוד מוצר]],טבלה33[הזמנה])</f>
        <v>0</v>
      </c>
      <c r="V6" s="553">
        <f>SUMIF(טבלה34[עמודה1],טבלה21[[#This Row],[קוד מוצר]],טבלה34[הזמנה])</f>
        <v>0</v>
      </c>
      <c r="W6" s="607">
        <f>SUMIF(טבלה35[עמודה1],טבלה21[[#This Row],[קוד מוצר]],טבלה35[הזמנה])</f>
        <v>0</v>
      </c>
      <c r="X6" s="607">
        <f>SUMIF(טבלה3338[מק"ט],טבלה21[[#This Row],[קוד מוצר]],טבלה3338[הזמנה])</f>
        <v>0</v>
      </c>
      <c r="Y6" s="607">
        <f>SUMIF(טבלה3540[עמודה1],טבלה21[[#This Row],[קוד מוצר]],טבלה3540[הזמנה])</f>
        <v>0</v>
      </c>
      <c r="Z6" s="607">
        <f>SUMIF(טבלה2327[מקט],טבלה21[[#This Row],[קוד מוצר]],טבלה2327[כמות])</f>
        <v>0</v>
      </c>
      <c r="AA6" s="553">
        <f>SUMIF(טבלה2426[מקט],טבלה21[[#This Row],[קוד מוצר]],טבלה2426[כמות])</f>
        <v>0</v>
      </c>
      <c r="AB6" s="379"/>
      <c r="AC6" s="381"/>
      <c r="AD6" s="382"/>
      <c r="AE6" s="382"/>
    </row>
    <row r="7" spans="2:31" ht="15.6">
      <c r="B7" s="606" t="s">
        <v>571</v>
      </c>
      <c r="C7" s="553" t="s">
        <v>527</v>
      </c>
      <c r="D7" s="553" t="s">
        <v>606</v>
      </c>
      <c r="E7" s="553">
        <v>1</v>
      </c>
      <c r="F7" s="611"/>
      <c r="G7" s="611"/>
      <c r="H7" s="611">
        <f>טבלה21[[#This Row],[מחיר לקרטון לפני ]]/טבלה21[[#This Row],[כמות בקרטון ]]*1.17</f>
        <v>0</v>
      </c>
      <c r="I7" s="611">
        <f>טבלה21[[#This Row],[כמות ]]*טבלה21[[#This Row],[מתכלה אחרי]]</f>
        <v>0</v>
      </c>
      <c r="J7" s="611">
        <f>טבלה21[[#This Row],[כמות ]]*טבלה21[[#This Row],[מחיר יח'' אחרי ]]</f>
        <v>0</v>
      </c>
      <c r="K7" s="553">
        <f>SUM(טבלה21[[#This Row],[פימת קפה]:[קיטים מיוחדים]])</f>
        <v>0</v>
      </c>
      <c r="L7" s="553" t="str">
        <f>IF(טבלה21[[#This Row],[כמות ]]=0,"",טבלה21[[#This Row],[כמות ]])</f>
        <v/>
      </c>
      <c r="M7" s="553">
        <f>SUMIF(טבלה3[מקט],טבלה21[[#This Row],[קוד מוצר]],טבלה3[כמות])</f>
        <v>0</v>
      </c>
      <c r="N7" s="553">
        <f>SUMIF(טבלה321[מקט],טבלה21[[#This Row],[קוד מוצר]],טבלה321[כמות])</f>
        <v>0</v>
      </c>
      <c r="O7" s="553">
        <f>SUMIF(טבלה516[מקט],טבלה21[[#This Row],[קוד מוצר]],טבלה516[כמות])</f>
        <v>0</v>
      </c>
      <c r="P7" s="553">
        <f>SUMIF(טבלה5[מק"ט],טבלה21[[#This Row],[קוד מוצר]],טבלה5[כמות])</f>
        <v>0</v>
      </c>
      <c r="Q7" s="553">
        <f>SUMIF(טבלה8[מק"ט],טבלה21[[#This Row],[קוד מוצר]],טבלה8[הזמנה])</f>
        <v>0</v>
      </c>
      <c r="R7" s="553">
        <f>SUMIF(טבלה8[מק"ט],טבלה21[[#This Row],[קוד מוצר]],טבלה8[הזמנה])</f>
        <v>0</v>
      </c>
      <c r="S7" s="553">
        <f>SUMIF(טבלה23[מקט],טבלה21[[#This Row],[קוד מוצר]],טבלה23[כמות])</f>
        <v>0</v>
      </c>
      <c r="T7" s="553">
        <f>SUMIF(טבלה36[מקט],טבלה21[[#This Row],[קוד מוצר]],טבלה36[כמות])</f>
        <v>0</v>
      </c>
      <c r="U7" s="553">
        <f>SUMIF(טבלה33[מק"ט],טבלה21[[#This Row],[קוד מוצר]],טבלה33[הזמנה])</f>
        <v>0</v>
      </c>
      <c r="V7" s="553">
        <f>SUMIF(טבלה34[עמודה1],טבלה21[[#This Row],[קוד מוצר]],טבלה34[הזמנה])</f>
        <v>0</v>
      </c>
      <c r="W7" s="607">
        <f>SUMIF(טבלה35[עמודה1],טבלה21[[#This Row],[קוד מוצר]],טבלה35[הזמנה])</f>
        <v>0</v>
      </c>
      <c r="X7" s="607">
        <f>SUMIF(טבלה3338[מק"ט],טבלה21[[#This Row],[קוד מוצר]],טבלה3338[הזמנה])</f>
        <v>0</v>
      </c>
      <c r="Y7" s="607">
        <f>SUMIF(טבלה3540[עמודה1],טבלה21[[#This Row],[קוד מוצר]],טבלה3540[הזמנה])</f>
        <v>0</v>
      </c>
      <c r="Z7" s="607">
        <f>SUMIF(טבלה2327[מקט],טבלה21[[#This Row],[קוד מוצר]],טבלה2327[כמות])</f>
        <v>0</v>
      </c>
      <c r="AA7" s="553">
        <f>SUMIF(טבלה2426[מקט],טבלה21[[#This Row],[קוד מוצר]],טבלה2426[כמות])</f>
        <v>0</v>
      </c>
      <c r="AB7" s="379"/>
      <c r="AC7" s="381"/>
      <c r="AD7" s="382"/>
      <c r="AE7" s="382"/>
    </row>
    <row r="8" spans="2:31" ht="15.6">
      <c r="B8" s="606" t="s">
        <v>572</v>
      </c>
      <c r="C8" s="553" t="s">
        <v>30</v>
      </c>
      <c r="D8" s="553" t="s">
        <v>607</v>
      </c>
      <c r="E8" s="553">
        <v>3000</v>
      </c>
      <c r="F8" s="611">
        <v>65</v>
      </c>
      <c r="G8" s="611">
        <f>0.15*1.17</f>
        <v>0.17549999999999999</v>
      </c>
      <c r="H8" s="611">
        <f>טבלה21[[#This Row],[מחיר לקרטון לפני ]]/טבלה21[[#This Row],[כמות בקרטון ]]*1.17</f>
        <v>2.5350000000000001E-2</v>
      </c>
      <c r="I8" s="611">
        <f>טבלה21[[#This Row],[כמות ]]*טבלה21[[#This Row],[מתכלה אחרי]]</f>
        <v>0</v>
      </c>
      <c r="J8" s="611">
        <f>טבלה21[[#This Row],[כמות ]]*טבלה21[[#This Row],[מחיר יח'' אחרי ]]</f>
        <v>0</v>
      </c>
      <c r="K8" s="553">
        <f>SUM(טבלה21[[#This Row],[פימת קפה]:[קיטים מיוחדים]])</f>
        <v>0</v>
      </c>
      <c r="L8" s="553" t="str">
        <f>IF(טבלה21[[#This Row],[כמות ]]=0,"",טבלה21[[#This Row],[כמות ]])</f>
        <v/>
      </c>
      <c r="M8" s="553">
        <f>SUMIF(טבלה3[מקט],טבלה21[[#This Row],[קוד מוצר]],טבלה3[כמות])</f>
        <v>0</v>
      </c>
      <c r="N8" s="553">
        <f>SUMIF(טבלה321[מקט],טבלה21[[#This Row],[קוד מוצר]],טבלה321[כמות])</f>
        <v>0</v>
      </c>
      <c r="O8" s="553">
        <f>SUMIF(טבלה516[מקט],טבלה21[[#This Row],[קוד מוצר]],טבלה516[כמות])</f>
        <v>0</v>
      </c>
      <c r="P8" s="553">
        <f>SUMIF(טבלה5[מק"ט],טבלה21[[#This Row],[קוד מוצר]],טבלה5[כמות])</f>
        <v>0</v>
      </c>
      <c r="Q8" s="553">
        <f>SUMIF(טבלה8[מק"ט],טבלה21[[#This Row],[קוד מוצר]],טבלה8[הזמנה])</f>
        <v>0</v>
      </c>
      <c r="R8" s="553">
        <f>SUMIF(טבלה8[מק"ט],טבלה21[[#This Row],[קוד מוצר]],טבלה8[הזמנה])</f>
        <v>0</v>
      </c>
      <c r="S8" s="553">
        <f>SUMIF(טבלה23[מקט],טבלה21[[#This Row],[קוד מוצר]],טבלה23[כמות])</f>
        <v>0</v>
      </c>
      <c r="T8" s="553">
        <f>SUMIF(טבלה36[מקט],טבלה21[[#This Row],[קוד מוצר]],טבלה36[כמות])</f>
        <v>0</v>
      </c>
      <c r="U8" s="553">
        <f>SUMIF(טבלה33[מק"ט],טבלה21[[#This Row],[קוד מוצר]],טבלה33[הזמנה])</f>
        <v>0</v>
      </c>
      <c r="V8" s="553">
        <f>SUMIF(טבלה34[עמודה1],טבלה21[[#This Row],[קוד מוצר]],טבלה34[הזמנה])</f>
        <v>0</v>
      </c>
      <c r="W8" s="607">
        <f>SUMIF(טבלה35[עמודה1],טבלה21[[#This Row],[קוד מוצר]],טבלה35[הזמנה])</f>
        <v>0</v>
      </c>
      <c r="X8" s="607">
        <f>SUMIF(טבלה3338[מק"ט],טבלה21[[#This Row],[קוד מוצר]],טבלה3338[הזמנה])</f>
        <v>0</v>
      </c>
      <c r="Y8" s="607">
        <f>SUMIF(טבלה3540[עמודה1],טבלה21[[#This Row],[קוד מוצר]],טבלה3540[הזמנה])</f>
        <v>0</v>
      </c>
      <c r="Z8" s="607">
        <f>SUMIF(טבלה2327[מקט],טבלה21[[#This Row],[קוד מוצר]],טבלה2327[כמות])</f>
        <v>0</v>
      </c>
      <c r="AA8" s="553">
        <f>SUMIF(טבלה2426[מקט],טבלה21[[#This Row],[קוד מוצר]],טבלה2426[כמות])</f>
        <v>0</v>
      </c>
      <c r="AB8" s="379"/>
      <c r="AC8" s="381"/>
      <c r="AD8" s="382"/>
      <c r="AE8" s="382"/>
    </row>
    <row r="9" spans="2:31" ht="15.6">
      <c r="B9" s="606" t="s">
        <v>573</v>
      </c>
      <c r="C9" s="553" t="s">
        <v>31</v>
      </c>
      <c r="D9" s="553" t="s">
        <v>606</v>
      </c>
      <c r="E9" s="553">
        <v>1000</v>
      </c>
      <c r="F9" s="611">
        <v>65</v>
      </c>
      <c r="G9" s="611">
        <f>0.16*1.17</f>
        <v>0.18720000000000001</v>
      </c>
      <c r="H9" s="611">
        <f>טבלה21[[#This Row],[מחיר לקרטון לפני ]]/טבלה21[[#This Row],[כמות בקרטון ]]*1.17</f>
        <v>7.6049999999999993E-2</v>
      </c>
      <c r="I9" s="611">
        <f>טבלה21[[#This Row],[כמות ]]*טבלה21[[#This Row],[מתכלה אחרי]]</f>
        <v>0</v>
      </c>
      <c r="J9" s="611">
        <f>טבלה21[[#This Row],[כמות ]]*טבלה21[[#This Row],[מחיר יח'' אחרי ]]</f>
        <v>0</v>
      </c>
      <c r="K9" s="553">
        <f>SUM(טבלה21[[#This Row],[פימת קפה]:[קיטים מיוחדים]])</f>
        <v>0</v>
      </c>
      <c r="L9" s="553" t="str">
        <f>IF(טבלה21[[#This Row],[כמות ]]=0,"",טבלה21[[#This Row],[כמות ]])</f>
        <v/>
      </c>
      <c r="M9" s="553">
        <f>SUMIF(טבלה3[מקט],טבלה21[[#This Row],[קוד מוצר]],טבלה3[כמות])</f>
        <v>0</v>
      </c>
      <c r="N9" s="553">
        <f>SUMIF(טבלה321[מקט],טבלה21[[#This Row],[קוד מוצר]],טבלה321[כמות])</f>
        <v>0</v>
      </c>
      <c r="O9" s="553">
        <f>SUMIF(טבלה516[מקט],טבלה21[[#This Row],[קוד מוצר]],טבלה516[כמות])</f>
        <v>0</v>
      </c>
      <c r="P9" s="553">
        <f>SUMIF(טבלה5[מק"ט],טבלה21[[#This Row],[קוד מוצר]],טבלה5[כמות])</f>
        <v>0</v>
      </c>
      <c r="Q9" s="553">
        <f>SUMIF(טבלה8[מק"ט],טבלה21[[#This Row],[קוד מוצר]],טבלה8[הזמנה])</f>
        <v>0</v>
      </c>
      <c r="R9" s="553">
        <f>SUMIF(טבלה8[מק"ט],טבלה21[[#This Row],[קוד מוצר]],טבלה8[הזמנה])</f>
        <v>0</v>
      </c>
      <c r="S9" s="553">
        <f>SUMIF(טבלה23[מקט],טבלה21[[#This Row],[קוד מוצר]],טבלה23[כמות])</f>
        <v>0</v>
      </c>
      <c r="T9" s="553">
        <f>SUMIF(טבלה36[מקט],טבלה21[[#This Row],[קוד מוצר]],טבלה36[כמות])</f>
        <v>0</v>
      </c>
      <c r="U9" s="553">
        <f>SUMIF(טבלה33[מק"ט],טבלה21[[#This Row],[קוד מוצר]],טבלה33[הזמנה])</f>
        <v>0</v>
      </c>
      <c r="V9" s="553">
        <f>SUMIF(טבלה34[עמודה1],טבלה21[[#This Row],[קוד מוצר]],טבלה34[הזמנה])</f>
        <v>0</v>
      </c>
      <c r="W9" s="607">
        <f>SUMIF(טבלה35[עמודה1],טבלה21[[#This Row],[קוד מוצר]],טבלה35[הזמנה])</f>
        <v>0</v>
      </c>
      <c r="X9" s="607">
        <f>SUMIF(טבלה3338[מק"ט],טבלה21[[#This Row],[קוד מוצר]],טבלה3338[הזמנה])</f>
        <v>0</v>
      </c>
      <c r="Y9" s="607">
        <f>SUMIF(טבלה3540[עמודה1],טבלה21[[#This Row],[קוד מוצר]],טבלה3540[הזמנה])</f>
        <v>0</v>
      </c>
      <c r="Z9" s="607">
        <f>SUMIF(טבלה2327[מקט],טבלה21[[#This Row],[קוד מוצר]],טבלה2327[כמות])</f>
        <v>0</v>
      </c>
      <c r="AA9" s="553">
        <f>SUMIF(טבלה2426[מקט],טבלה21[[#This Row],[קוד מוצר]],טבלה2426[כמות])</f>
        <v>0</v>
      </c>
      <c r="AB9" s="379"/>
      <c r="AC9" s="381"/>
      <c r="AD9" s="382"/>
      <c r="AE9" s="382"/>
    </row>
    <row r="10" spans="2:31" ht="15.6">
      <c r="B10" s="606" t="s">
        <v>574</v>
      </c>
      <c r="C10" s="553" t="s">
        <v>32</v>
      </c>
      <c r="D10" s="553" t="s">
        <v>607</v>
      </c>
      <c r="E10" s="553">
        <v>4000</v>
      </c>
      <c r="F10" s="611">
        <v>102</v>
      </c>
      <c r="G10" s="611">
        <f>0.19*1.17</f>
        <v>0.2223</v>
      </c>
      <c r="H10" s="611">
        <f>טבלה21[[#This Row],[מחיר לקרטון לפני ]]/טבלה21[[#This Row],[כמות בקרטון ]]*1.17</f>
        <v>2.9834999999999997E-2</v>
      </c>
      <c r="I10" s="611">
        <f>טבלה21[[#This Row],[כמות ]]*טבלה21[[#This Row],[מתכלה אחרי]]</f>
        <v>0</v>
      </c>
      <c r="J10" s="611">
        <f>טבלה21[[#This Row],[כמות ]]*טבלה21[[#This Row],[מחיר יח'' אחרי ]]</f>
        <v>0</v>
      </c>
      <c r="K10" s="553">
        <f>SUM(טבלה21[[#This Row],[פימת קפה]:[קיטים מיוחדים]])</f>
        <v>0</v>
      </c>
      <c r="L10" s="553" t="str">
        <f>IF(טבלה21[[#This Row],[כמות ]]=0,"",טבלה21[[#This Row],[כמות ]])</f>
        <v/>
      </c>
      <c r="M10" s="553">
        <f>SUMIF(טבלה3[מקט],טבלה21[[#This Row],[קוד מוצר]],טבלה3[כמות])</f>
        <v>0</v>
      </c>
      <c r="N10" s="553">
        <f>SUMIF(טבלה321[מקט],טבלה21[[#This Row],[קוד מוצר]],טבלה321[כמות])</f>
        <v>0</v>
      </c>
      <c r="O10" s="553">
        <f>SUMIF(טבלה516[מקט],טבלה21[[#This Row],[קוד מוצר]],טבלה516[כמות])</f>
        <v>0</v>
      </c>
      <c r="P10" s="553">
        <f>SUMIF(טבלה5[מק"ט],טבלה21[[#This Row],[קוד מוצר]],טבלה5[כמות])</f>
        <v>0</v>
      </c>
      <c r="Q10" s="553">
        <f>SUMIF(טבלה8[מק"ט],טבלה21[[#This Row],[קוד מוצר]],טבלה8[הזמנה])</f>
        <v>0</v>
      </c>
      <c r="R10" s="553">
        <f>SUMIF(טבלה8[מק"ט],טבלה21[[#This Row],[קוד מוצר]],טבלה8[הזמנה])</f>
        <v>0</v>
      </c>
      <c r="S10" s="553">
        <f>SUMIF(טבלה23[מקט],טבלה21[[#This Row],[קוד מוצר]],טבלה23[כמות])</f>
        <v>0</v>
      </c>
      <c r="T10" s="553">
        <f>SUMIF(טבלה36[מקט],טבלה21[[#This Row],[קוד מוצר]],טבלה36[כמות])</f>
        <v>0</v>
      </c>
      <c r="U10" s="553">
        <f>SUMIF(טבלה33[מק"ט],טבלה21[[#This Row],[קוד מוצר]],טבלה33[הזמנה])</f>
        <v>0</v>
      </c>
      <c r="V10" s="553">
        <f>SUMIF(טבלה34[עמודה1],טבלה21[[#This Row],[קוד מוצר]],טבלה34[הזמנה])</f>
        <v>0</v>
      </c>
      <c r="W10" s="607">
        <f>SUMIF(טבלה35[עמודה1],טבלה21[[#This Row],[קוד מוצר]],טבלה35[הזמנה])</f>
        <v>0</v>
      </c>
      <c r="X10" s="607">
        <f>SUMIF(טבלה3338[מק"ט],טבלה21[[#This Row],[קוד מוצר]],טבלה3338[הזמנה])</f>
        <v>0</v>
      </c>
      <c r="Y10" s="607">
        <f>SUMIF(טבלה3540[עמודה1],טבלה21[[#This Row],[קוד מוצר]],טבלה3540[הזמנה])</f>
        <v>0</v>
      </c>
      <c r="Z10" s="607">
        <f>SUMIF(טבלה2327[מקט],טבלה21[[#This Row],[קוד מוצר]],טבלה2327[כמות])</f>
        <v>0</v>
      </c>
      <c r="AA10" s="553">
        <f>SUMIF(טבלה2426[מקט],טבלה21[[#This Row],[קוד מוצר]],טבלה2426[כמות])</f>
        <v>0</v>
      </c>
      <c r="AB10" s="379"/>
      <c r="AC10" s="381"/>
      <c r="AD10" s="382"/>
      <c r="AE10" s="382"/>
    </row>
    <row r="11" spans="2:31" ht="15.6">
      <c r="B11" s="606" t="s">
        <v>575</v>
      </c>
      <c r="C11" s="553" t="s">
        <v>33</v>
      </c>
      <c r="D11" s="553" t="s">
        <v>607</v>
      </c>
      <c r="E11" s="553">
        <v>4000</v>
      </c>
      <c r="F11" s="611">
        <v>102</v>
      </c>
      <c r="G11" s="611">
        <f>0.19*1.17</f>
        <v>0.2223</v>
      </c>
      <c r="H11" s="611">
        <f>טבלה21[[#This Row],[מחיר לקרטון לפני ]]/טבלה21[[#This Row],[כמות בקרטון ]]*1.17</f>
        <v>2.9834999999999997E-2</v>
      </c>
      <c r="I11" s="611">
        <f>טבלה21[[#This Row],[כמות ]]*טבלה21[[#This Row],[מתכלה אחרי]]</f>
        <v>0</v>
      </c>
      <c r="J11" s="611">
        <f>טבלה21[[#This Row],[כמות ]]*טבלה21[[#This Row],[מחיר יח'' אחרי ]]</f>
        <v>0</v>
      </c>
      <c r="K11" s="553">
        <f>SUM(טבלה21[[#This Row],[פימת קפה]:[קיטים מיוחדים]])</f>
        <v>0</v>
      </c>
      <c r="L11" s="553" t="str">
        <f>IF(טבלה21[[#This Row],[כמות ]]=0,"",טבלה21[[#This Row],[כמות ]])</f>
        <v/>
      </c>
      <c r="M11" s="553">
        <f>SUMIF(טבלה3[מקט],טבלה21[[#This Row],[קוד מוצר]],טבלה3[כמות])</f>
        <v>0</v>
      </c>
      <c r="N11" s="553">
        <f>SUMIF(טבלה321[מקט],טבלה21[[#This Row],[קוד מוצר]],טבלה321[כמות])</f>
        <v>0</v>
      </c>
      <c r="O11" s="553">
        <f>SUMIF(טבלה516[מקט],טבלה21[[#This Row],[קוד מוצר]],טבלה516[כמות])</f>
        <v>0</v>
      </c>
      <c r="P11" s="553">
        <f>SUMIF(טבלה5[מק"ט],טבלה21[[#This Row],[קוד מוצר]],טבלה5[כמות])</f>
        <v>0</v>
      </c>
      <c r="Q11" s="553">
        <f>SUMIF(טבלה8[מק"ט],טבלה21[[#This Row],[קוד מוצר]],טבלה8[הזמנה])</f>
        <v>0</v>
      </c>
      <c r="R11" s="553">
        <f>SUMIF(טבלה8[מק"ט],טבלה21[[#This Row],[קוד מוצר]],טבלה8[הזמנה])</f>
        <v>0</v>
      </c>
      <c r="S11" s="553">
        <f>SUMIF(טבלה23[מקט],טבלה21[[#This Row],[קוד מוצר]],טבלה23[כמות])</f>
        <v>0</v>
      </c>
      <c r="T11" s="553">
        <f>SUMIF(טבלה36[מקט],טבלה21[[#This Row],[קוד מוצר]],טבלה36[כמות])</f>
        <v>0</v>
      </c>
      <c r="U11" s="553">
        <f>SUMIF(טבלה33[מק"ט],טבלה21[[#This Row],[קוד מוצר]],טבלה33[הזמנה])</f>
        <v>0</v>
      </c>
      <c r="V11" s="553">
        <f>SUMIF(טבלה34[עמודה1],טבלה21[[#This Row],[קוד מוצר]],טבלה34[הזמנה])</f>
        <v>0</v>
      </c>
      <c r="W11" s="607">
        <f>SUMIF(טבלה35[עמודה1],טבלה21[[#This Row],[קוד מוצר]],טבלה35[הזמנה])</f>
        <v>0</v>
      </c>
      <c r="X11" s="607">
        <f>SUMIF(טבלה3338[מק"ט],טבלה21[[#This Row],[קוד מוצר]],טבלה3338[הזמנה])</f>
        <v>0</v>
      </c>
      <c r="Y11" s="607">
        <f>SUMIF(טבלה3540[עמודה1],טבלה21[[#This Row],[קוד מוצר]],טבלה3540[הזמנה])</f>
        <v>0</v>
      </c>
      <c r="Z11" s="607">
        <f>SUMIF(טבלה2327[מקט],טבלה21[[#This Row],[קוד מוצר]],טבלה2327[כמות])</f>
        <v>0</v>
      </c>
      <c r="AA11" s="553">
        <f>SUMIF(טבלה2426[מקט],טבלה21[[#This Row],[קוד מוצר]],טבלה2426[כמות])</f>
        <v>0</v>
      </c>
      <c r="AB11" s="379"/>
      <c r="AC11" s="381"/>
      <c r="AD11" s="382"/>
      <c r="AE11" s="382"/>
    </row>
    <row r="12" spans="2:31" ht="15.6">
      <c r="B12" s="606" t="s">
        <v>576</v>
      </c>
      <c r="C12" s="553" t="s">
        <v>514</v>
      </c>
      <c r="D12" s="553" t="s">
        <v>607</v>
      </c>
      <c r="E12" s="553">
        <v>4000</v>
      </c>
      <c r="F12" s="611">
        <v>95.5</v>
      </c>
      <c r="G12" s="611">
        <f>0.19*1.17</f>
        <v>0.2223</v>
      </c>
      <c r="H12" s="611">
        <f>טבלה21[[#This Row],[מחיר לקרטון לפני ]]/טבלה21[[#This Row],[כמות בקרטון ]]*1.17</f>
        <v>2.793375E-2</v>
      </c>
      <c r="I12" s="611">
        <f>טבלה21[[#This Row],[כמות ]]*טבלה21[[#This Row],[מתכלה אחרי]]</f>
        <v>0</v>
      </c>
      <c r="J12" s="611">
        <f>טבלה21[[#This Row],[כמות ]]*טבלה21[[#This Row],[מחיר יח'' אחרי ]]</f>
        <v>0</v>
      </c>
      <c r="K12" s="553">
        <f>SUM(טבלה21[[#This Row],[פימת קפה]:[קיטים מיוחדים]])</f>
        <v>0</v>
      </c>
      <c r="L12" s="553" t="str">
        <f>IF(טבלה21[[#This Row],[כמות ]]=0,"",טבלה21[[#This Row],[כמות ]])</f>
        <v/>
      </c>
      <c r="M12" s="553">
        <f>SUMIF(טבלה3[מקט],טבלה21[[#This Row],[קוד מוצר]],טבלה3[כמות])</f>
        <v>0</v>
      </c>
      <c r="N12" s="553">
        <f>SUMIF(טבלה321[מקט],טבלה21[[#This Row],[קוד מוצר]],טבלה321[כמות])</f>
        <v>0</v>
      </c>
      <c r="O12" s="553">
        <f>SUMIF(טבלה516[מקט],טבלה21[[#This Row],[קוד מוצר]],טבלה516[כמות])</f>
        <v>0</v>
      </c>
      <c r="P12" s="553">
        <f>SUMIF(טבלה5[מק"ט],טבלה21[[#This Row],[קוד מוצר]],טבלה5[כמות])</f>
        <v>0</v>
      </c>
      <c r="Q12" s="553">
        <f>SUMIF(טבלה8[מק"ט],טבלה21[[#This Row],[קוד מוצר]],טבלה8[הזמנה])</f>
        <v>0</v>
      </c>
      <c r="R12" s="553">
        <f>SUMIF(טבלה8[מק"ט],טבלה21[[#This Row],[קוד מוצר]],טבלה8[הזמנה])</f>
        <v>0</v>
      </c>
      <c r="S12" s="553">
        <f>SUMIF(טבלה23[מקט],טבלה21[[#This Row],[קוד מוצר]],טבלה23[כמות])</f>
        <v>0</v>
      </c>
      <c r="T12" s="553">
        <f>SUMIF(טבלה36[מקט],טבלה21[[#This Row],[קוד מוצר]],טבלה36[כמות])</f>
        <v>0</v>
      </c>
      <c r="U12" s="553">
        <f>SUMIF(טבלה33[מק"ט],טבלה21[[#This Row],[קוד מוצר]],טבלה33[הזמנה])</f>
        <v>0</v>
      </c>
      <c r="V12" s="553">
        <f>SUMIF(טבלה34[עמודה1],טבלה21[[#This Row],[קוד מוצר]],טבלה34[הזמנה])</f>
        <v>0</v>
      </c>
      <c r="W12" s="607">
        <f>SUMIF(טבלה35[עמודה1],טבלה21[[#This Row],[קוד מוצר]],טבלה35[הזמנה])</f>
        <v>0</v>
      </c>
      <c r="X12" s="607">
        <f>SUMIF(טבלה3338[מק"ט],טבלה21[[#This Row],[קוד מוצר]],טבלה3338[הזמנה])</f>
        <v>0</v>
      </c>
      <c r="Y12" s="607">
        <f>SUMIF(טבלה3540[עמודה1],טבלה21[[#This Row],[קוד מוצר]],טבלה3540[הזמנה])</f>
        <v>0</v>
      </c>
      <c r="Z12" s="607">
        <f>SUMIF(טבלה2327[מקט],טבלה21[[#This Row],[קוד מוצר]],טבלה2327[כמות])</f>
        <v>0</v>
      </c>
      <c r="AA12" s="553">
        <f>SUMIF(טבלה2426[מקט],טבלה21[[#This Row],[קוד מוצר]],טבלה2426[כמות])</f>
        <v>0</v>
      </c>
      <c r="AB12" s="379"/>
      <c r="AC12" s="381"/>
      <c r="AD12" s="382"/>
      <c r="AE12" s="382"/>
    </row>
    <row r="13" spans="2:31" ht="15.6">
      <c r="B13" s="606" t="s">
        <v>577</v>
      </c>
      <c r="C13" s="553" t="s">
        <v>34</v>
      </c>
      <c r="D13" s="553" t="s">
        <v>558</v>
      </c>
      <c r="E13" s="553">
        <v>400</v>
      </c>
      <c r="F13" s="611">
        <v>145</v>
      </c>
      <c r="G13" s="611">
        <v>0.42</v>
      </c>
      <c r="H13" s="611">
        <f>טבלה21[[#This Row],[מחיר לקרטון לפני ]]/טבלה21[[#This Row],[כמות בקרטון ]]*1.17</f>
        <v>0.42412499999999997</v>
      </c>
      <c r="I13" s="611">
        <f>טבלה21[[#This Row],[כמות ]]*טבלה21[[#This Row],[מתכלה אחרי]]</f>
        <v>0</v>
      </c>
      <c r="J13" s="611">
        <f>טבלה21[[#This Row],[כמות ]]*טבלה21[[#This Row],[מחיר יח'' אחרי ]]</f>
        <v>0</v>
      </c>
      <c r="K13" s="553">
        <f>SUM(טבלה21[[#This Row],[פימת קפה]:[קיטים מיוחדים]])</f>
        <v>0</v>
      </c>
      <c r="L13" s="553" t="str">
        <f>IF(טבלה21[[#This Row],[כמות ]]=0,"",טבלה21[[#This Row],[כמות ]])</f>
        <v/>
      </c>
      <c r="M13" s="553">
        <f>SUMIF(טבלה3[מקט],טבלה21[[#This Row],[קוד מוצר]],טבלה3[כמות])</f>
        <v>0</v>
      </c>
      <c r="N13" s="553">
        <f>SUMIF(טבלה321[מקט],טבלה21[[#This Row],[קוד מוצר]],טבלה321[כמות])</f>
        <v>0</v>
      </c>
      <c r="O13" s="553">
        <f>SUMIF(טבלה516[מקט],טבלה21[[#This Row],[קוד מוצר]],טבלה516[כמות])</f>
        <v>0</v>
      </c>
      <c r="P13" s="553">
        <f>SUMIF(טבלה5[מק"ט],טבלה21[[#This Row],[קוד מוצר]],טבלה5[כמות])</f>
        <v>0</v>
      </c>
      <c r="Q13" s="553">
        <f>SUMIF(טבלה8[מק"ט],טבלה21[[#This Row],[קוד מוצר]],טבלה8[הזמנה])</f>
        <v>0</v>
      </c>
      <c r="R13" s="553">
        <f>SUMIF(טבלה8[מק"ט],טבלה21[[#This Row],[קוד מוצר]],טבלה8[הזמנה])</f>
        <v>0</v>
      </c>
      <c r="S13" s="553">
        <f>SUMIF(טבלה23[מקט],טבלה21[[#This Row],[קוד מוצר]],טבלה23[כמות])</f>
        <v>0</v>
      </c>
      <c r="T13" s="553">
        <f>SUMIF(טבלה36[מקט],טבלה21[[#This Row],[קוד מוצר]],טבלה36[כמות])</f>
        <v>0</v>
      </c>
      <c r="U13" s="553">
        <f>SUMIF(טבלה33[מק"ט],טבלה21[[#This Row],[קוד מוצר]],טבלה33[הזמנה])</f>
        <v>0</v>
      </c>
      <c r="V13" s="553">
        <f>SUMIF(טבלה34[עמודה1],טבלה21[[#This Row],[קוד מוצר]],טבלה34[הזמנה])</f>
        <v>0</v>
      </c>
      <c r="W13" s="607">
        <f>SUMIF(טבלה35[עמודה1],טבלה21[[#This Row],[קוד מוצר]],טבלה35[הזמנה])</f>
        <v>0</v>
      </c>
      <c r="X13" s="607">
        <f>SUMIF(טבלה3338[מק"ט],טבלה21[[#This Row],[קוד מוצר]],טבלה3338[הזמנה])</f>
        <v>0</v>
      </c>
      <c r="Y13" s="607">
        <f>SUMIF(טבלה3540[עמודה1],טבלה21[[#This Row],[קוד מוצר]],טבלה3540[הזמנה])</f>
        <v>0</v>
      </c>
      <c r="Z13" s="607">
        <f>SUMIF(טבלה2327[מקט],טבלה21[[#This Row],[קוד מוצר]],טבלה2327[כמות])</f>
        <v>0</v>
      </c>
      <c r="AA13" s="553">
        <f>SUMIF(טבלה2426[מקט],טבלה21[[#This Row],[קוד מוצר]],טבלה2426[כמות])</f>
        <v>0</v>
      </c>
      <c r="AB13" s="379"/>
      <c r="AC13" s="381"/>
      <c r="AD13" s="382"/>
      <c r="AE13" s="382"/>
    </row>
    <row r="14" spans="2:31" ht="15.6">
      <c r="B14" s="606" t="s">
        <v>578</v>
      </c>
      <c r="C14" s="553" t="s">
        <v>35</v>
      </c>
      <c r="D14" s="553" t="s">
        <v>608</v>
      </c>
      <c r="E14" s="553">
        <v>2000</v>
      </c>
      <c r="F14" s="611">
        <v>175</v>
      </c>
      <c r="G14" s="611">
        <v>0.1</v>
      </c>
      <c r="H14" s="611">
        <f>טבלה21[[#This Row],[מחיר לקרטון לפני ]]/טבלה21[[#This Row],[כמות בקרטון ]]*1.17</f>
        <v>0.10237499999999999</v>
      </c>
      <c r="I14" s="611">
        <f>טבלה21[[#This Row],[כמות ]]*טבלה21[[#This Row],[מתכלה אחרי]]</f>
        <v>0</v>
      </c>
      <c r="J14" s="611">
        <f>טבלה21[[#This Row],[כמות ]]*טבלה21[[#This Row],[מחיר יח'' אחרי ]]</f>
        <v>0</v>
      </c>
      <c r="K14" s="553">
        <f>SUM(טבלה21[[#This Row],[פימת קפה]:[קיטים מיוחדים]])</f>
        <v>0</v>
      </c>
      <c r="L14" s="553" t="str">
        <f>IF(טבלה21[[#This Row],[כמות ]]=0,"",טבלה21[[#This Row],[כמות ]])</f>
        <v/>
      </c>
      <c r="M14" s="553">
        <f>SUMIF(טבלה3[מקט],טבלה21[[#This Row],[קוד מוצר]],טבלה3[כמות])</f>
        <v>0</v>
      </c>
      <c r="N14" s="553">
        <f>SUMIF(טבלה321[מקט],טבלה21[[#This Row],[קוד מוצר]],טבלה321[כמות])</f>
        <v>0</v>
      </c>
      <c r="O14" s="553">
        <f>SUMIF(טבלה516[מקט],טבלה21[[#This Row],[קוד מוצר]],טבלה516[כמות])</f>
        <v>0</v>
      </c>
      <c r="P14" s="553">
        <f>SUMIF(טבלה5[מק"ט],טבלה21[[#This Row],[קוד מוצר]],טבלה5[כמות])</f>
        <v>0</v>
      </c>
      <c r="Q14" s="553">
        <f>SUMIF(טבלה8[מק"ט],טבלה21[[#This Row],[קוד מוצר]],טבלה8[הזמנה])</f>
        <v>0</v>
      </c>
      <c r="R14" s="553">
        <f>SUMIF(טבלה8[מק"ט],טבלה21[[#This Row],[קוד מוצר]],טבלה8[הזמנה])</f>
        <v>0</v>
      </c>
      <c r="S14" s="553">
        <f>SUMIF(טבלה23[מקט],טבלה21[[#This Row],[קוד מוצר]],טבלה23[כמות])</f>
        <v>0</v>
      </c>
      <c r="T14" s="553">
        <f>SUMIF(טבלה36[מקט],טבלה21[[#This Row],[קוד מוצר]],טבלה36[כמות])</f>
        <v>0</v>
      </c>
      <c r="U14" s="553">
        <f>SUMIF(טבלה33[מק"ט],טבלה21[[#This Row],[קוד מוצר]],טבלה33[הזמנה])</f>
        <v>0</v>
      </c>
      <c r="V14" s="553">
        <f>SUMIF(טבלה34[עמודה1],טבלה21[[#This Row],[קוד מוצר]],טבלה34[הזמנה])</f>
        <v>0</v>
      </c>
      <c r="W14" s="607">
        <f>SUMIF(טבלה35[עמודה1],טבלה21[[#This Row],[קוד מוצר]],טבלה35[הזמנה])</f>
        <v>0</v>
      </c>
      <c r="X14" s="607">
        <f>SUMIF(טבלה3338[מק"ט],טבלה21[[#This Row],[קוד מוצר]],טבלה3338[הזמנה])</f>
        <v>0</v>
      </c>
      <c r="Y14" s="607">
        <f>SUMIF(טבלה3540[עמודה1],טבלה21[[#This Row],[קוד מוצר]],טבלה3540[הזמנה])</f>
        <v>0</v>
      </c>
      <c r="Z14" s="607">
        <f>SUMIF(טבלה2327[מקט],טבלה21[[#This Row],[קוד מוצר]],טבלה2327[כמות])</f>
        <v>0</v>
      </c>
      <c r="AA14" s="553">
        <f>SUMIF(טבלה2426[מקט],טבלה21[[#This Row],[קוד מוצר]],טבלה2426[כמות])</f>
        <v>0</v>
      </c>
      <c r="AB14" s="379"/>
      <c r="AC14" s="381"/>
      <c r="AD14" s="382"/>
      <c r="AE14" s="382"/>
    </row>
    <row r="15" spans="2:31" ht="15.6">
      <c r="B15" s="606" t="s">
        <v>579</v>
      </c>
      <c r="C15" s="553" t="s">
        <v>124</v>
      </c>
      <c r="D15" s="553" t="s">
        <v>609</v>
      </c>
      <c r="E15" s="553">
        <v>1</v>
      </c>
      <c r="F15" s="611"/>
      <c r="G15" s="611"/>
      <c r="H15" s="611">
        <f>טבלה21[[#This Row],[מחיר לקרטון לפני ]]/טבלה21[[#This Row],[כמות בקרטון ]]*1.17</f>
        <v>0</v>
      </c>
      <c r="I15" s="611">
        <f>טבלה21[[#This Row],[כמות ]]*טבלה21[[#This Row],[מתכלה אחרי]]</f>
        <v>0</v>
      </c>
      <c r="J15" s="611">
        <f>טבלה21[[#This Row],[כמות ]]*טבלה21[[#This Row],[מחיר יח'' אחרי ]]</f>
        <v>0</v>
      </c>
      <c r="K15" s="553">
        <f>SUM(טבלה21[[#This Row],[פימת קפה]:[קיטים מיוחדים]])</f>
        <v>0</v>
      </c>
      <c r="L15" s="553" t="str">
        <f>IF(טבלה21[[#This Row],[כמות ]]=0,"",טבלה21[[#This Row],[כמות ]])</f>
        <v/>
      </c>
      <c r="M15" s="553">
        <f>SUMIF(טבלה3[מקט],טבלה21[[#This Row],[קוד מוצר]],טבלה3[כמות])</f>
        <v>0</v>
      </c>
      <c r="N15" s="553">
        <f>SUMIF(טבלה321[מקט],טבלה21[[#This Row],[קוד מוצר]],טבלה321[כמות])</f>
        <v>0</v>
      </c>
      <c r="O15" s="553">
        <f>SUMIF(טבלה516[מקט],טבלה21[[#This Row],[קוד מוצר]],טבלה516[כמות])</f>
        <v>0</v>
      </c>
      <c r="P15" s="553">
        <f>SUMIF(טבלה5[מק"ט],טבלה21[[#This Row],[קוד מוצר]],טבלה5[כמות])</f>
        <v>0</v>
      </c>
      <c r="Q15" s="553">
        <f>SUMIF(טבלה8[מק"ט],טבלה21[[#This Row],[קוד מוצר]],טבלה8[הזמנה])</f>
        <v>0</v>
      </c>
      <c r="R15" s="553">
        <f>SUMIF(טבלה8[מק"ט],טבלה21[[#This Row],[קוד מוצר]],טבלה8[הזמנה])</f>
        <v>0</v>
      </c>
      <c r="S15" s="553">
        <f>SUMIF(טבלה23[מקט],טבלה21[[#This Row],[קוד מוצר]],טבלה23[כמות])</f>
        <v>0</v>
      </c>
      <c r="T15" s="553">
        <f>SUMIF(טבלה36[מקט],טבלה21[[#This Row],[קוד מוצר]],טבלה36[כמות])</f>
        <v>0</v>
      </c>
      <c r="U15" s="553">
        <f>SUMIF(טבלה33[מק"ט],טבלה21[[#This Row],[קוד מוצר]],טבלה33[הזמנה])</f>
        <v>0</v>
      </c>
      <c r="V15" s="553">
        <f>SUMIF(טבלה34[עמודה1],טבלה21[[#This Row],[קוד מוצר]],טבלה34[הזמנה])</f>
        <v>0</v>
      </c>
      <c r="W15" s="607">
        <f>SUMIF(טבלה35[עמודה1],טבלה21[[#This Row],[קוד מוצר]],טבלה35[הזמנה])</f>
        <v>0</v>
      </c>
      <c r="X15" s="607">
        <f>SUMIF(טבלה3338[מק"ט],טבלה21[[#This Row],[קוד מוצר]],טבלה3338[הזמנה])</f>
        <v>0</v>
      </c>
      <c r="Y15" s="607">
        <f>SUMIF(טבלה3540[עמודה1],טבלה21[[#This Row],[קוד מוצר]],טבלה3540[הזמנה])</f>
        <v>0</v>
      </c>
      <c r="Z15" s="607">
        <f>SUMIF(טבלה2327[מקט],טבלה21[[#This Row],[קוד מוצר]],טבלה2327[כמות])</f>
        <v>0</v>
      </c>
      <c r="AA15" s="553">
        <f>SUMIF(טבלה2426[מקט],טבלה21[[#This Row],[קוד מוצר]],טבלה2426[כמות])</f>
        <v>0</v>
      </c>
      <c r="AB15" s="379"/>
      <c r="AC15" s="381"/>
      <c r="AD15" s="382"/>
      <c r="AE15" s="382"/>
    </row>
    <row r="16" spans="2:31" ht="15.6">
      <c r="B16" s="606" t="s">
        <v>580</v>
      </c>
      <c r="C16" s="553" t="s">
        <v>37</v>
      </c>
      <c r="D16" s="553" t="s">
        <v>6</v>
      </c>
      <c r="E16" s="553">
        <v>1</v>
      </c>
      <c r="F16" s="611"/>
      <c r="G16" s="611"/>
      <c r="H16" s="611">
        <f>טבלה21[[#This Row],[מחיר לקרטון לפני ]]/טבלה21[[#This Row],[כמות בקרטון ]]*1.17</f>
        <v>0</v>
      </c>
      <c r="I16" s="611">
        <f>טבלה21[[#This Row],[כמות ]]*טבלה21[[#This Row],[מתכלה אחרי]]</f>
        <v>0</v>
      </c>
      <c r="J16" s="611">
        <f>טבלה21[[#This Row],[כמות ]]*טבלה21[[#This Row],[מחיר יח'' אחרי ]]</f>
        <v>0</v>
      </c>
      <c r="K16" s="553">
        <f>SUM(טבלה21[[#This Row],[פימת קפה]:[קיטים מיוחדים]])</f>
        <v>0</v>
      </c>
      <c r="L16" s="553" t="str">
        <f>IF(טבלה21[[#This Row],[כמות ]]=0,"",טבלה21[[#This Row],[כמות ]])</f>
        <v/>
      </c>
      <c r="M16" s="553">
        <f>SUMIF(טבלה3[מקט],טבלה21[[#This Row],[קוד מוצר]],טבלה3[כמות])</f>
        <v>0</v>
      </c>
      <c r="N16" s="553">
        <f>SUMIF(טבלה321[מקט],טבלה21[[#This Row],[קוד מוצר]],טבלה321[כמות])</f>
        <v>0</v>
      </c>
      <c r="O16" s="553">
        <f>SUMIF(טבלה516[מקט],טבלה21[[#This Row],[קוד מוצר]],טבלה516[כמות])</f>
        <v>0</v>
      </c>
      <c r="P16" s="553">
        <f>SUMIF(טבלה5[מק"ט],טבלה21[[#This Row],[קוד מוצר]],טבלה5[כמות])</f>
        <v>0</v>
      </c>
      <c r="Q16" s="553">
        <f>SUMIF(טבלה8[מק"ט],טבלה21[[#This Row],[קוד מוצר]],טבלה8[הזמנה])</f>
        <v>0</v>
      </c>
      <c r="R16" s="553">
        <f>SUMIF(טבלה8[מק"ט],טבלה21[[#This Row],[קוד מוצר]],טבלה8[הזמנה])</f>
        <v>0</v>
      </c>
      <c r="S16" s="553">
        <f>SUMIF(טבלה23[מקט],טבלה21[[#This Row],[קוד מוצר]],טבלה23[כמות])</f>
        <v>0</v>
      </c>
      <c r="T16" s="553">
        <f>SUMIF(טבלה36[מקט],טבלה21[[#This Row],[קוד מוצר]],טבלה36[כמות])</f>
        <v>0</v>
      </c>
      <c r="U16" s="553">
        <f>SUMIF(טבלה33[מק"ט],טבלה21[[#This Row],[קוד מוצר]],טבלה33[הזמנה])</f>
        <v>0</v>
      </c>
      <c r="V16" s="553">
        <f>SUMIF(טבלה34[עמודה1],טבלה21[[#This Row],[קוד מוצר]],טבלה34[הזמנה])</f>
        <v>0</v>
      </c>
      <c r="W16" s="607">
        <f>SUMIF(טבלה35[עמודה1],טבלה21[[#This Row],[קוד מוצר]],טבלה35[הזמנה])</f>
        <v>0</v>
      </c>
      <c r="X16" s="607">
        <f>SUMIF(טבלה3338[מק"ט],טבלה21[[#This Row],[קוד מוצר]],טבלה3338[הזמנה])</f>
        <v>0</v>
      </c>
      <c r="Y16" s="607">
        <f>SUMIF(טבלה3540[עמודה1],טבלה21[[#This Row],[קוד מוצר]],טבלה3540[הזמנה])</f>
        <v>0</v>
      </c>
      <c r="Z16" s="607">
        <f>SUMIF(טבלה2327[מקט],טבלה21[[#This Row],[קוד מוצר]],טבלה2327[כמות])</f>
        <v>0</v>
      </c>
      <c r="AA16" s="553">
        <f>SUMIF(טבלה2426[מקט],טבלה21[[#This Row],[קוד מוצר]],טבלה2426[כמות])</f>
        <v>0</v>
      </c>
      <c r="AB16" s="379"/>
      <c r="AC16" s="381"/>
      <c r="AD16" s="382"/>
      <c r="AE16" s="382"/>
    </row>
    <row r="17" spans="2:31" ht="15.6">
      <c r="B17" s="606" t="s">
        <v>581</v>
      </c>
      <c r="C17" s="553" t="s">
        <v>500</v>
      </c>
      <c r="D17" s="553" t="s">
        <v>6</v>
      </c>
      <c r="E17" s="553">
        <v>1</v>
      </c>
      <c r="F17" s="611"/>
      <c r="G17" s="611"/>
      <c r="H17" s="611">
        <f>טבלה21[[#This Row],[מחיר לקרטון לפני ]]/טבלה21[[#This Row],[כמות בקרטון ]]*1.17</f>
        <v>0</v>
      </c>
      <c r="I17" s="611">
        <f>טבלה21[[#This Row],[כמות ]]*טבלה21[[#This Row],[מתכלה אחרי]]</f>
        <v>0</v>
      </c>
      <c r="J17" s="611">
        <f>טבלה21[[#This Row],[כמות ]]*טבלה21[[#This Row],[מחיר יח'' אחרי ]]</f>
        <v>0</v>
      </c>
      <c r="K17" s="553">
        <f>SUM(טבלה21[[#This Row],[פימת קפה]:[קיטים מיוחדים]])</f>
        <v>0</v>
      </c>
      <c r="L17" s="553" t="str">
        <f>IF(טבלה21[[#This Row],[כמות ]]=0,"",טבלה21[[#This Row],[כמות ]])</f>
        <v/>
      </c>
      <c r="M17" s="553">
        <f>SUMIF(טבלה3[מקט],טבלה21[[#This Row],[קוד מוצר]],טבלה3[כמות])</f>
        <v>0</v>
      </c>
      <c r="N17" s="553">
        <f>SUMIF(טבלה321[מקט],טבלה21[[#This Row],[קוד מוצר]],טבלה321[כמות])</f>
        <v>0</v>
      </c>
      <c r="O17" s="553">
        <f>SUMIF(טבלה516[מקט],טבלה21[[#This Row],[קוד מוצר]],טבלה516[כמות])</f>
        <v>0</v>
      </c>
      <c r="P17" s="553">
        <f>SUMIF(טבלה5[מק"ט],טבלה21[[#This Row],[קוד מוצר]],טבלה5[כמות])</f>
        <v>0</v>
      </c>
      <c r="Q17" s="553">
        <f>SUMIF(טבלה8[מק"ט],טבלה21[[#This Row],[קוד מוצר]],טבלה8[הזמנה])</f>
        <v>0</v>
      </c>
      <c r="R17" s="553">
        <f>SUMIF(טבלה8[מק"ט],טבלה21[[#This Row],[קוד מוצר]],טבלה8[הזמנה])</f>
        <v>0</v>
      </c>
      <c r="S17" s="553">
        <f>SUMIF(טבלה23[מקט],טבלה21[[#This Row],[קוד מוצר]],טבלה23[כמות])</f>
        <v>0</v>
      </c>
      <c r="T17" s="553">
        <f>SUMIF(טבלה36[מקט],טבלה21[[#This Row],[קוד מוצר]],טבלה36[כמות])</f>
        <v>0</v>
      </c>
      <c r="U17" s="553">
        <f>SUMIF(טבלה33[מק"ט],טבלה21[[#This Row],[קוד מוצר]],טבלה33[הזמנה])</f>
        <v>0</v>
      </c>
      <c r="V17" s="553">
        <f>SUMIF(טבלה34[עמודה1],טבלה21[[#This Row],[קוד מוצר]],טבלה34[הזמנה])</f>
        <v>0</v>
      </c>
      <c r="W17" s="607">
        <f>SUMIF(טבלה35[עמודה1],טבלה21[[#This Row],[קוד מוצר]],טבלה35[הזמנה])</f>
        <v>0</v>
      </c>
      <c r="X17" s="607">
        <f>SUMIF(טבלה3338[מק"ט],טבלה21[[#This Row],[קוד מוצר]],טבלה3338[הזמנה])</f>
        <v>0</v>
      </c>
      <c r="Y17" s="607">
        <f>SUMIF(טבלה3540[עמודה1],טבלה21[[#This Row],[קוד מוצר]],טבלה3540[הזמנה])</f>
        <v>0</v>
      </c>
      <c r="Z17" s="607">
        <f>SUMIF(טבלה2327[מקט],טבלה21[[#This Row],[קוד מוצר]],טבלה2327[כמות])</f>
        <v>0</v>
      </c>
      <c r="AA17" s="553">
        <f>SUMIF(טבלה2426[מקט],טבלה21[[#This Row],[קוד מוצר]],טבלה2426[כמות])</f>
        <v>0</v>
      </c>
      <c r="AB17" s="379"/>
      <c r="AC17" s="381"/>
      <c r="AD17" s="382"/>
      <c r="AE17" s="382"/>
    </row>
    <row r="18" spans="2:31" ht="15.6">
      <c r="B18" s="606" t="s">
        <v>582</v>
      </c>
      <c r="C18" s="553" t="s">
        <v>507</v>
      </c>
      <c r="D18" s="553" t="s">
        <v>6</v>
      </c>
      <c r="E18" s="553">
        <v>1</v>
      </c>
      <c r="F18" s="611"/>
      <c r="G18" s="611"/>
      <c r="H18" s="611">
        <f>טבלה21[[#This Row],[מחיר לקרטון לפני ]]/טבלה21[[#This Row],[כמות בקרטון ]]*1.17</f>
        <v>0</v>
      </c>
      <c r="I18" s="611">
        <f>טבלה21[[#This Row],[כמות ]]*טבלה21[[#This Row],[מתכלה אחרי]]</f>
        <v>0</v>
      </c>
      <c r="J18" s="611">
        <f>טבלה21[[#This Row],[כמות ]]*טבלה21[[#This Row],[מחיר יח'' אחרי ]]</f>
        <v>0</v>
      </c>
      <c r="K18" s="553">
        <f>SUM(טבלה21[[#This Row],[פימת קפה]:[קיטים מיוחדים]])</f>
        <v>0</v>
      </c>
      <c r="L18" s="553" t="str">
        <f>IF(טבלה21[[#This Row],[כמות ]]=0,"",טבלה21[[#This Row],[כמות ]])</f>
        <v/>
      </c>
      <c r="M18" s="553">
        <f>SUMIF(טבלה3[מקט],טבלה21[[#This Row],[קוד מוצר]],טבלה3[כמות])</f>
        <v>0</v>
      </c>
      <c r="N18" s="553">
        <f>SUMIF(טבלה321[מקט],טבלה21[[#This Row],[קוד מוצר]],טבלה321[כמות])</f>
        <v>0</v>
      </c>
      <c r="O18" s="553">
        <f>SUMIF(טבלה516[מקט],טבלה21[[#This Row],[קוד מוצר]],טבלה516[כמות])</f>
        <v>0</v>
      </c>
      <c r="P18" s="553">
        <f>SUMIF(טבלה5[מק"ט],טבלה21[[#This Row],[קוד מוצר]],טבלה5[כמות])</f>
        <v>0</v>
      </c>
      <c r="Q18" s="553">
        <f>SUMIF(טבלה8[מק"ט],טבלה21[[#This Row],[קוד מוצר]],טבלה8[הזמנה])</f>
        <v>0</v>
      </c>
      <c r="R18" s="553">
        <f>SUMIF(טבלה8[מק"ט],טבלה21[[#This Row],[קוד מוצר]],טבלה8[הזמנה])</f>
        <v>0</v>
      </c>
      <c r="S18" s="553">
        <f>SUMIF(טבלה23[מקט],טבלה21[[#This Row],[קוד מוצר]],טבלה23[כמות])</f>
        <v>0</v>
      </c>
      <c r="T18" s="553">
        <f>SUMIF(טבלה36[מקט],טבלה21[[#This Row],[קוד מוצר]],טבלה36[כמות])</f>
        <v>0</v>
      </c>
      <c r="U18" s="553">
        <f>SUMIF(טבלה33[מק"ט],טבלה21[[#This Row],[קוד מוצר]],טבלה33[הזמנה])</f>
        <v>0</v>
      </c>
      <c r="V18" s="553">
        <f>SUMIF(טבלה34[עמודה1],טבלה21[[#This Row],[קוד מוצר]],טבלה34[הזמנה])</f>
        <v>0</v>
      </c>
      <c r="W18" s="607">
        <f>SUMIF(טבלה35[עמודה1],טבלה21[[#This Row],[קוד מוצר]],טבלה35[הזמנה])</f>
        <v>0</v>
      </c>
      <c r="X18" s="607">
        <f>SUMIF(טבלה3338[מק"ט],טבלה21[[#This Row],[קוד מוצר]],טבלה3338[הזמנה])</f>
        <v>0</v>
      </c>
      <c r="Y18" s="607">
        <f>SUMIF(טבלה3540[עמודה1],טבלה21[[#This Row],[קוד מוצר]],טבלה3540[הזמנה])</f>
        <v>0</v>
      </c>
      <c r="Z18" s="607">
        <f>SUMIF(טבלה2327[מקט],טבלה21[[#This Row],[קוד מוצר]],טבלה2327[כמות])</f>
        <v>0</v>
      </c>
      <c r="AA18" s="553">
        <f>SUMIF(טבלה2426[מקט],טבלה21[[#This Row],[קוד מוצר]],טבלה2426[כמות])</f>
        <v>0</v>
      </c>
      <c r="AB18" s="379"/>
      <c r="AC18" s="381"/>
      <c r="AD18" s="382"/>
      <c r="AE18" s="382"/>
    </row>
    <row r="19" spans="2:31" ht="15.6">
      <c r="B19" s="606" t="s">
        <v>583</v>
      </c>
      <c r="C19" s="553" t="s">
        <v>521</v>
      </c>
      <c r="D19" s="553" t="s">
        <v>6</v>
      </c>
      <c r="E19" s="553">
        <v>1</v>
      </c>
      <c r="F19" s="611"/>
      <c r="G19" s="611"/>
      <c r="H19" s="611">
        <f>טבלה21[[#This Row],[מחיר לקרטון לפני ]]/טבלה21[[#This Row],[כמות בקרטון ]]*1.17</f>
        <v>0</v>
      </c>
      <c r="I19" s="611">
        <f>טבלה21[[#This Row],[כמות ]]*טבלה21[[#This Row],[מתכלה אחרי]]</f>
        <v>0</v>
      </c>
      <c r="J19" s="611">
        <f>טבלה21[[#This Row],[כמות ]]*טבלה21[[#This Row],[מחיר יח'' אחרי ]]</f>
        <v>0</v>
      </c>
      <c r="K19" s="553">
        <f>SUM(טבלה21[[#This Row],[פימת קפה]:[קיטים מיוחדים]])</f>
        <v>0</v>
      </c>
      <c r="L19" s="553" t="str">
        <f>IF(טבלה21[[#This Row],[כמות ]]=0,"",טבלה21[[#This Row],[כמות ]])</f>
        <v/>
      </c>
      <c r="M19" s="553">
        <f>SUMIF(טבלה3[מקט],טבלה21[[#This Row],[קוד מוצר]],טבלה3[כמות])</f>
        <v>0</v>
      </c>
      <c r="N19" s="553">
        <f>SUMIF(טבלה321[מקט],טבלה21[[#This Row],[קוד מוצר]],טבלה321[כמות])</f>
        <v>0</v>
      </c>
      <c r="O19" s="553">
        <f>SUMIF(טבלה516[מקט],טבלה21[[#This Row],[קוד מוצר]],טבלה516[כמות])</f>
        <v>0</v>
      </c>
      <c r="P19" s="553">
        <f>SUMIF(טבלה5[מק"ט],טבלה21[[#This Row],[קוד מוצר]],טבלה5[כמות])</f>
        <v>0</v>
      </c>
      <c r="Q19" s="553">
        <f>SUMIF(טבלה8[מק"ט],טבלה21[[#This Row],[קוד מוצר]],טבלה8[הזמנה])</f>
        <v>0</v>
      </c>
      <c r="R19" s="553">
        <f>SUMIF(טבלה8[מק"ט],טבלה21[[#This Row],[קוד מוצר]],טבלה8[הזמנה])</f>
        <v>0</v>
      </c>
      <c r="S19" s="553">
        <f>SUMIF(טבלה23[מקט],טבלה21[[#This Row],[קוד מוצר]],טבלה23[כמות])</f>
        <v>0</v>
      </c>
      <c r="T19" s="553">
        <f>SUMIF(טבלה36[מקט],טבלה21[[#This Row],[קוד מוצר]],טבלה36[כמות])</f>
        <v>0</v>
      </c>
      <c r="U19" s="553">
        <f>SUMIF(טבלה33[מק"ט],טבלה21[[#This Row],[קוד מוצר]],טבלה33[הזמנה])</f>
        <v>0</v>
      </c>
      <c r="V19" s="553">
        <f>SUMIF(טבלה34[עמודה1],טבלה21[[#This Row],[קוד מוצר]],טבלה34[הזמנה])</f>
        <v>0</v>
      </c>
      <c r="W19" s="607">
        <f>SUMIF(טבלה35[עמודה1],טבלה21[[#This Row],[קוד מוצר]],טבלה35[הזמנה])</f>
        <v>0</v>
      </c>
      <c r="X19" s="607">
        <f>SUMIF(טבלה3338[מק"ט],טבלה21[[#This Row],[קוד מוצר]],טבלה3338[הזמנה])</f>
        <v>0</v>
      </c>
      <c r="Y19" s="607">
        <f>SUMIF(טבלה3540[עמודה1],טבלה21[[#This Row],[קוד מוצר]],טבלה3540[הזמנה])</f>
        <v>0</v>
      </c>
      <c r="Z19" s="607">
        <f>SUMIF(טבלה2327[מקט],טבלה21[[#This Row],[קוד מוצר]],טבלה2327[כמות])</f>
        <v>0</v>
      </c>
      <c r="AA19" s="553">
        <f>SUMIF(טבלה2426[מקט],טבלה21[[#This Row],[קוד מוצר]],טבלה2426[כמות])</f>
        <v>0</v>
      </c>
      <c r="AB19" s="379"/>
      <c r="AC19" s="381"/>
      <c r="AD19" s="382"/>
      <c r="AE19" s="382"/>
    </row>
    <row r="20" spans="2:31" ht="15.6">
      <c r="B20" s="606" t="s">
        <v>584</v>
      </c>
      <c r="C20" s="553" t="s">
        <v>522</v>
      </c>
      <c r="D20" s="553" t="s">
        <v>6</v>
      </c>
      <c r="E20" s="553">
        <v>1</v>
      </c>
      <c r="F20" s="611"/>
      <c r="G20" s="611"/>
      <c r="H20" s="611">
        <f>טבלה21[[#This Row],[מחיר לקרטון לפני ]]/טבלה21[[#This Row],[כמות בקרטון ]]*1.17</f>
        <v>0</v>
      </c>
      <c r="I20" s="611">
        <f>טבלה21[[#This Row],[כמות ]]*טבלה21[[#This Row],[מתכלה אחרי]]</f>
        <v>0</v>
      </c>
      <c r="J20" s="611">
        <f>טבלה21[[#This Row],[כמות ]]*טבלה21[[#This Row],[מחיר יח'' אחרי ]]</f>
        <v>0</v>
      </c>
      <c r="K20" s="553">
        <f>SUM(טבלה21[[#This Row],[פימת קפה]:[קיטים מיוחדים]])</f>
        <v>0</v>
      </c>
      <c r="L20" s="553" t="str">
        <f>IF(טבלה21[[#This Row],[כמות ]]=0,"",טבלה21[[#This Row],[כמות ]])</f>
        <v/>
      </c>
      <c r="M20" s="553">
        <f>SUMIF(טבלה3[מקט],טבלה21[[#This Row],[קוד מוצר]],טבלה3[כמות])</f>
        <v>0</v>
      </c>
      <c r="N20" s="553">
        <f>SUMIF(טבלה321[מקט],טבלה21[[#This Row],[קוד מוצר]],טבלה321[כמות])</f>
        <v>0</v>
      </c>
      <c r="O20" s="553">
        <f>SUMIF(טבלה516[מקט],טבלה21[[#This Row],[קוד מוצר]],טבלה516[כמות])</f>
        <v>0</v>
      </c>
      <c r="P20" s="553">
        <f>SUMIF(טבלה5[מק"ט],טבלה21[[#This Row],[קוד מוצר]],טבלה5[כמות])</f>
        <v>0</v>
      </c>
      <c r="Q20" s="553">
        <f>SUMIF(טבלה8[מק"ט],טבלה21[[#This Row],[קוד מוצר]],טבלה8[הזמנה])</f>
        <v>0</v>
      </c>
      <c r="R20" s="553">
        <f>SUMIF(טבלה8[מק"ט],טבלה21[[#This Row],[קוד מוצר]],טבלה8[הזמנה])</f>
        <v>0</v>
      </c>
      <c r="S20" s="553">
        <f>SUMIF(טבלה23[מקט],טבלה21[[#This Row],[קוד מוצר]],טבלה23[כמות])</f>
        <v>0</v>
      </c>
      <c r="T20" s="553">
        <f>SUMIF(טבלה36[מקט],טבלה21[[#This Row],[קוד מוצר]],טבלה36[כמות])</f>
        <v>0</v>
      </c>
      <c r="U20" s="553">
        <f>SUMIF(טבלה33[מק"ט],טבלה21[[#This Row],[קוד מוצר]],טבלה33[הזמנה])</f>
        <v>0</v>
      </c>
      <c r="V20" s="553">
        <f>SUMIF(טבלה34[עמודה1],טבלה21[[#This Row],[קוד מוצר]],טבלה34[הזמנה])</f>
        <v>0</v>
      </c>
      <c r="W20" s="607">
        <f>SUMIF(טבלה35[עמודה1],טבלה21[[#This Row],[קוד מוצר]],טבלה35[הזמנה])</f>
        <v>0</v>
      </c>
      <c r="X20" s="607">
        <f>SUMIF(טבלה3338[מק"ט],טבלה21[[#This Row],[קוד מוצר]],טבלה3338[הזמנה])</f>
        <v>0</v>
      </c>
      <c r="Y20" s="607">
        <f>SUMIF(טבלה3540[עמודה1],טבלה21[[#This Row],[קוד מוצר]],טבלה3540[הזמנה])</f>
        <v>0</v>
      </c>
      <c r="Z20" s="607">
        <f>SUMIF(טבלה2327[מקט],טבלה21[[#This Row],[קוד מוצר]],טבלה2327[כמות])</f>
        <v>0</v>
      </c>
      <c r="AA20" s="553">
        <f>SUMIF(טבלה2426[מקט],טבלה21[[#This Row],[קוד מוצר]],טבלה2426[כמות])</f>
        <v>0</v>
      </c>
      <c r="AB20" s="379"/>
      <c r="AC20" s="381"/>
      <c r="AD20" s="382"/>
      <c r="AE20" s="382"/>
    </row>
    <row r="21" spans="2:31" ht="15.6">
      <c r="B21" s="606" t="s">
        <v>585</v>
      </c>
      <c r="C21" s="553" t="s">
        <v>523</v>
      </c>
      <c r="D21" s="553" t="s">
        <v>6</v>
      </c>
      <c r="E21" s="553">
        <v>1</v>
      </c>
      <c r="F21" s="611"/>
      <c r="G21" s="611"/>
      <c r="H21" s="611">
        <f>טבלה21[[#This Row],[מחיר לקרטון לפני ]]/טבלה21[[#This Row],[כמות בקרטון ]]*1.17</f>
        <v>0</v>
      </c>
      <c r="I21" s="611">
        <f>טבלה21[[#This Row],[כמות ]]*טבלה21[[#This Row],[מתכלה אחרי]]</f>
        <v>0</v>
      </c>
      <c r="J21" s="611">
        <f>טבלה21[[#This Row],[כמות ]]*טבלה21[[#This Row],[מחיר יח'' אחרי ]]</f>
        <v>0</v>
      </c>
      <c r="K21" s="553">
        <f>SUM(טבלה21[[#This Row],[פימת קפה]:[קיטים מיוחדים]])</f>
        <v>0</v>
      </c>
      <c r="L21" s="553" t="str">
        <f>IF(טבלה21[[#This Row],[כמות ]]=0,"",טבלה21[[#This Row],[כמות ]])</f>
        <v/>
      </c>
      <c r="M21" s="553">
        <f>SUMIF(טבלה3[מקט],טבלה21[[#This Row],[קוד מוצר]],טבלה3[כמות])</f>
        <v>0</v>
      </c>
      <c r="N21" s="553">
        <f>SUMIF(טבלה321[מקט],טבלה21[[#This Row],[קוד מוצר]],טבלה321[כמות])</f>
        <v>0</v>
      </c>
      <c r="O21" s="553">
        <f>SUMIF(טבלה516[מקט],טבלה21[[#This Row],[קוד מוצר]],טבלה516[כמות])</f>
        <v>0</v>
      </c>
      <c r="P21" s="553">
        <f>SUMIF(טבלה5[מק"ט],טבלה21[[#This Row],[קוד מוצר]],טבלה5[כמות])</f>
        <v>0</v>
      </c>
      <c r="Q21" s="553">
        <f>SUMIF(טבלה8[מק"ט],טבלה21[[#This Row],[קוד מוצר]],טבלה8[הזמנה])</f>
        <v>0</v>
      </c>
      <c r="R21" s="553">
        <f>SUMIF(טבלה8[מק"ט],טבלה21[[#This Row],[קוד מוצר]],טבלה8[הזמנה])</f>
        <v>0</v>
      </c>
      <c r="S21" s="553">
        <f>SUMIF(טבלה23[מקט],טבלה21[[#This Row],[קוד מוצר]],טבלה23[כמות])</f>
        <v>0</v>
      </c>
      <c r="T21" s="553">
        <f>SUMIF(טבלה36[מקט],טבלה21[[#This Row],[קוד מוצר]],טבלה36[כמות])</f>
        <v>0</v>
      </c>
      <c r="U21" s="553">
        <f>SUMIF(טבלה33[מק"ט],טבלה21[[#This Row],[קוד מוצר]],טבלה33[הזמנה])</f>
        <v>0</v>
      </c>
      <c r="V21" s="553">
        <f>SUMIF(טבלה34[עמודה1],טבלה21[[#This Row],[קוד מוצר]],טבלה34[הזמנה])</f>
        <v>0</v>
      </c>
      <c r="W21" s="607">
        <f>SUMIF(טבלה35[עמודה1],טבלה21[[#This Row],[קוד מוצר]],טבלה35[הזמנה])</f>
        <v>0</v>
      </c>
      <c r="X21" s="607">
        <f>SUMIF(טבלה3338[מק"ט],טבלה21[[#This Row],[קוד מוצר]],טבלה3338[הזמנה])</f>
        <v>0</v>
      </c>
      <c r="Y21" s="607">
        <f>SUMIF(טבלה3540[עמודה1],טבלה21[[#This Row],[קוד מוצר]],טבלה3540[הזמנה])</f>
        <v>0</v>
      </c>
      <c r="Z21" s="607">
        <f>SUMIF(טבלה2327[מקט],טבלה21[[#This Row],[קוד מוצר]],טבלה2327[כמות])</f>
        <v>0</v>
      </c>
      <c r="AA21" s="553">
        <f>SUMIF(טבלה2426[מקט],טבלה21[[#This Row],[קוד מוצר]],טבלה2426[כמות])</f>
        <v>0</v>
      </c>
      <c r="AB21" s="379"/>
      <c r="AC21" s="381"/>
      <c r="AD21" s="382"/>
      <c r="AE21" s="382"/>
    </row>
    <row r="22" spans="2:31" ht="15.6">
      <c r="B22" s="606" t="s">
        <v>586</v>
      </c>
      <c r="C22" s="553" t="s">
        <v>524</v>
      </c>
      <c r="D22" s="553" t="s">
        <v>6</v>
      </c>
      <c r="E22" s="553">
        <v>1</v>
      </c>
      <c r="F22" s="611"/>
      <c r="G22" s="611"/>
      <c r="H22" s="611">
        <f>טבלה21[[#This Row],[מחיר לקרטון לפני ]]/טבלה21[[#This Row],[כמות בקרטון ]]*1.17</f>
        <v>0</v>
      </c>
      <c r="I22" s="611">
        <f>טבלה21[[#This Row],[כמות ]]*טבלה21[[#This Row],[מתכלה אחרי]]</f>
        <v>0</v>
      </c>
      <c r="J22" s="611">
        <f>טבלה21[[#This Row],[כמות ]]*טבלה21[[#This Row],[מחיר יח'' אחרי ]]</f>
        <v>0</v>
      </c>
      <c r="K22" s="553">
        <f>SUM(טבלה21[[#This Row],[פימת קפה]:[קיטים מיוחדים]])</f>
        <v>0</v>
      </c>
      <c r="L22" s="553" t="str">
        <f>IF(טבלה21[[#This Row],[כמות ]]=0,"",טבלה21[[#This Row],[כמות ]])</f>
        <v/>
      </c>
      <c r="M22" s="553">
        <f>SUMIF(טבלה3[מקט],טבלה21[[#This Row],[קוד מוצר]],טבלה3[כמות])</f>
        <v>0</v>
      </c>
      <c r="N22" s="553">
        <f>SUMIF(טבלה321[מקט],טבלה21[[#This Row],[קוד מוצר]],טבלה321[כמות])</f>
        <v>0</v>
      </c>
      <c r="O22" s="553">
        <f>SUMIF(טבלה516[מקט],טבלה21[[#This Row],[קוד מוצר]],טבלה516[כמות])</f>
        <v>0</v>
      </c>
      <c r="P22" s="553">
        <f>SUMIF(טבלה5[מק"ט],טבלה21[[#This Row],[קוד מוצר]],טבלה5[כמות])</f>
        <v>0</v>
      </c>
      <c r="Q22" s="553">
        <f>SUMIF(טבלה8[מק"ט],טבלה21[[#This Row],[קוד מוצר]],טבלה8[הזמנה])</f>
        <v>0</v>
      </c>
      <c r="R22" s="553">
        <f>SUMIF(טבלה8[מק"ט],טבלה21[[#This Row],[קוד מוצר]],טבלה8[הזמנה])</f>
        <v>0</v>
      </c>
      <c r="S22" s="553">
        <f>SUMIF(טבלה23[מקט],טבלה21[[#This Row],[קוד מוצר]],טבלה23[כמות])</f>
        <v>0</v>
      </c>
      <c r="T22" s="553">
        <f>SUMIF(טבלה36[מקט],טבלה21[[#This Row],[קוד מוצר]],טבלה36[כמות])</f>
        <v>0</v>
      </c>
      <c r="U22" s="553">
        <f>SUMIF(טבלה33[מק"ט],טבלה21[[#This Row],[קוד מוצר]],טבלה33[הזמנה])</f>
        <v>0</v>
      </c>
      <c r="V22" s="553">
        <f>SUMIF(טבלה34[עמודה1],טבלה21[[#This Row],[קוד מוצר]],טבלה34[הזמנה])</f>
        <v>0</v>
      </c>
      <c r="W22" s="607">
        <f>SUMIF(טבלה35[עמודה1],טבלה21[[#This Row],[קוד מוצר]],טבלה35[הזמנה])</f>
        <v>0</v>
      </c>
      <c r="X22" s="607">
        <f>SUMIF(טבלה3338[מק"ט],טבלה21[[#This Row],[קוד מוצר]],טבלה3338[הזמנה])</f>
        <v>0</v>
      </c>
      <c r="Y22" s="607">
        <f>SUMIF(טבלה3540[עמודה1],טבלה21[[#This Row],[קוד מוצר]],טבלה3540[הזמנה])</f>
        <v>0</v>
      </c>
      <c r="Z22" s="607">
        <f>SUMIF(טבלה2327[מקט],טבלה21[[#This Row],[קוד מוצר]],טבלה2327[כמות])</f>
        <v>0</v>
      </c>
      <c r="AA22" s="553">
        <f>SUMIF(טבלה2426[מקט],טבלה21[[#This Row],[קוד מוצר]],טבלה2426[כמות])</f>
        <v>0</v>
      </c>
      <c r="AB22" s="379"/>
      <c r="AC22" s="381"/>
      <c r="AD22" s="382"/>
      <c r="AE22" s="382"/>
    </row>
    <row r="23" spans="2:31" ht="15.6">
      <c r="B23" s="606" t="s">
        <v>587</v>
      </c>
      <c r="C23" s="553" t="s">
        <v>528</v>
      </c>
      <c r="D23" s="553" t="s">
        <v>6</v>
      </c>
      <c r="E23" s="553">
        <v>1</v>
      </c>
      <c r="F23" s="611"/>
      <c r="G23" s="611"/>
      <c r="H23" s="611">
        <f>טבלה21[[#This Row],[מחיר לקרטון לפני ]]/טבלה21[[#This Row],[כמות בקרטון ]]*1.17</f>
        <v>0</v>
      </c>
      <c r="I23" s="611">
        <f>טבלה21[[#This Row],[כמות ]]*טבלה21[[#This Row],[מתכלה אחרי]]</f>
        <v>0</v>
      </c>
      <c r="J23" s="611">
        <f>טבלה21[[#This Row],[כמות ]]*טבלה21[[#This Row],[מחיר יח'' אחרי ]]</f>
        <v>0</v>
      </c>
      <c r="K23" s="553">
        <f>SUM(טבלה21[[#This Row],[פימת קפה]:[קיטים מיוחדים]])</f>
        <v>0</v>
      </c>
      <c r="L23" s="553" t="str">
        <f>IF(טבלה21[[#This Row],[כמות ]]=0,"",טבלה21[[#This Row],[כמות ]])</f>
        <v/>
      </c>
      <c r="M23" s="553">
        <f>SUMIF(טבלה3[מקט],טבלה21[[#This Row],[קוד מוצר]],טבלה3[כמות])</f>
        <v>0</v>
      </c>
      <c r="N23" s="553">
        <f>SUMIF(טבלה321[מקט],טבלה21[[#This Row],[קוד מוצר]],טבלה321[כמות])</f>
        <v>0</v>
      </c>
      <c r="O23" s="553">
        <f>SUMIF(טבלה516[מקט],טבלה21[[#This Row],[קוד מוצר]],טבלה516[כמות])</f>
        <v>0</v>
      </c>
      <c r="P23" s="553">
        <f>SUMIF(טבלה5[מק"ט],טבלה21[[#This Row],[קוד מוצר]],טבלה5[כמות])</f>
        <v>0</v>
      </c>
      <c r="Q23" s="553">
        <f>SUMIF(טבלה8[מק"ט],טבלה21[[#This Row],[קוד מוצר]],טבלה8[הזמנה])</f>
        <v>0</v>
      </c>
      <c r="R23" s="553">
        <f>SUMIF(טבלה8[מק"ט],טבלה21[[#This Row],[קוד מוצר]],טבלה8[הזמנה])</f>
        <v>0</v>
      </c>
      <c r="S23" s="553">
        <f>SUMIF(טבלה23[מקט],טבלה21[[#This Row],[קוד מוצר]],טבלה23[כמות])</f>
        <v>0</v>
      </c>
      <c r="T23" s="553">
        <f>SUMIF(טבלה36[מקט],טבלה21[[#This Row],[קוד מוצר]],טבלה36[כמות])</f>
        <v>0</v>
      </c>
      <c r="U23" s="553">
        <f>SUMIF(טבלה33[מק"ט],טבלה21[[#This Row],[קוד מוצר]],טבלה33[הזמנה])</f>
        <v>0</v>
      </c>
      <c r="V23" s="553">
        <f>SUMIF(טבלה34[עמודה1],טבלה21[[#This Row],[קוד מוצר]],טבלה34[הזמנה])</f>
        <v>0</v>
      </c>
      <c r="W23" s="607">
        <f>SUMIF(טבלה35[עמודה1],טבלה21[[#This Row],[קוד מוצר]],טבלה35[הזמנה])</f>
        <v>0</v>
      </c>
      <c r="X23" s="607">
        <f>SUMIF(טבלה3338[מק"ט],טבלה21[[#This Row],[קוד מוצר]],טבלה3338[הזמנה])</f>
        <v>0</v>
      </c>
      <c r="Y23" s="607">
        <f>SUMIF(טבלה3540[עמודה1],טבלה21[[#This Row],[קוד מוצר]],טבלה3540[הזמנה])</f>
        <v>0</v>
      </c>
      <c r="Z23" s="607">
        <f>SUMIF(טבלה2327[מקט],טבלה21[[#This Row],[קוד מוצר]],טבלה2327[כמות])</f>
        <v>0</v>
      </c>
      <c r="AA23" s="553">
        <f>SUMIF(טבלה2426[מקט],טבלה21[[#This Row],[קוד מוצר]],טבלה2426[כמות])</f>
        <v>0</v>
      </c>
      <c r="AB23" s="379"/>
      <c r="AC23" s="381"/>
      <c r="AD23" s="382"/>
      <c r="AE23" s="382"/>
    </row>
    <row r="24" spans="2:31" ht="15.6">
      <c r="B24" s="606" t="s">
        <v>588</v>
      </c>
      <c r="C24" s="553" t="s">
        <v>529</v>
      </c>
      <c r="D24" s="553" t="s">
        <v>6</v>
      </c>
      <c r="E24" s="553">
        <v>1</v>
      </c>
      <c r="F24" s="611"/>
      <c r="G24" s="611"/>
      <c r="H24" s="611">
        <f>טבלה21[[#This Row],[מחיר לקרטון לפני ]]/טבלה21[[#This Row],[כמות בקרטון ]]*1.17</f>
        <v>0</v>
      </c>
      <c r="I24" s="611">
        <f>טבלה21[[#This Row],[כמות ]]*טבלה21[[#This Row],[מתכלה אחרי]]</f>
        <v>0</v>
      </c>
      <c r="J24" s="611">
        <f>טבלה21[[#This Row],[כמות ]]*טבלה21[[#This Row],[מחיר יח'' אחרי ]]</f>
        <v>0</v>
      </c>
      <c r="K24" s="553">
        <f>SUM(טבלה21[[#This Row],[פימת קפה]:[קיטים מיוחדים]])</f>
        <v>0</v>
      </c>
      <c r="L24" s="553" t="str">
        <f>IF(טבלה21[[#This Row],[כמות ]]=0,"",טבלה21[[#This Row],[כמות ]])</f>
        <v/>
      </c>
      <c r="M24" s="553">
        <f>SUMIF(טבלה3[מקט],טבלה21[[#This Row],[קוד מוצר]],טבלה3[כמות])</f>
        <v>0</v>
      </c>
      <c r="N24" s="553">
        <f>SUMIF(טבלה321[מקט],טבלה21[[#This Row],[קוד מוצר]],טבלה321[כמות])</f>
        <v>0</v>
      </c>
      <c r="O24" s="553">
        <f>SUMIF(טבלה516[מקט],טבלה21[[#This Row],[קוד מוצר]],טבלה516[כמות])</f>
        <v>0</v>
      </c>
      <c r="P24" s="553">
        <f>SUMIF(טבלה5[מק"ט],טבלה21[[#This Row],[קוד מוצר]],טבלה5[כמות])</f>
        <v>0</v>
      </c>
      <c r="Q24" s="553">
        <f>SUMIF(טבלה8[מק"ט],טבלה21[[#This Row],[קוד מוצר]],טבלה8[הזמנה])</f>
        <v>0</v>
      </c>
      <c r="R24" s="553">
        <f>SUMIF(טבלה8[מק"ט],טבלה21[[#This Row],[קוד מוצר]],טבלה8[הזמנה])</f>
        <v>0</v>
      </c>
      <c r="S24" s="553">
        <f>SUMIF(טבלה23[מקט],טבלה21[[#This Row],[קוד מוצר]],טבלה23[כמות])</f>
        <v>0</v>
      </c>
      <c r="T24" s="553">
        <f>SUMIF(טבלה36[מקט],טבלה21[[#This Row],[קוד מוצר]],טבלה36[כמות])</f>
        <v>0</v>
      </c>
      <c r="U24" s="553">
        <f>SUMIF(טבלה33[מק"ט],טבלה21[[#This Row],[קוד מוצר]],טבלה33[הזמנה])</f>
        <v>0</v>
      </c>
      <c r="V24" s="553">
        <f>SUMIF(טבלה34[עמודה1],טבלה21[[#This Row],[קוד מוצר]],טבלה34[הזמנה])</f>
        <v>0</v>
      </c>
      <c r="W24" s="607">
        <f>SUMIF(טבלה35[עמודה1],טבלה21[[#This Row],[קוד מוצר]],טבלה35[הזמנה])</f>
        <v>0</v>
      </c>
      <c r="X24" s="607">
        <f>SUMIF(טבלה3338[מק"ט],טבלה21[[#This Row],[קוד מוצר]],טבלה3338[הזמנה])</f>
        <v>0</v>
      </c>
      <c r="Y24" s="607">
        <f>SUMIF(טבלה3540[עמודה1],טבלה21[[#This Row],[קוד מוצר]],טבלה3540[הזמנה])</f>
        <v>0</v>
      </c>
      <c r="Z24" s="607">
        <f>SUMIF(טבלה2327[מקט],טבלה21[[#This Row],[קוד מוצר]],טבלה2327[כמות])</f>
        <v>0</v>
      </c>
      <c r="AA24" s="553">
        <f>SUMIF(טבלה2426[מקט],טבלה21[[#This Row],[קוד מוצר]],טבלה2426[כמות])</f>
        <v>0</v>
      </c>
      <c r="AB24" s="379"/>
      <c r="AC24" s="381"/>
      <c r="AD24" s="382"/>
      <c r="AE24" s="382"/>
    </row>
    <row r="25" spans="2:31" ht="15.6">
      <c r="B25" s="606" t="s">
        <v>589</v>
      </c>
      <c r="C25" s="553" t="s">
        <v>530</v>
      </c>
      <c r="D25" s="553" t="s">
        <v>6</v>
      </c>
      <c r="E25" s="553">
        <v>1</v>
      </c>
      <c r="F25" s="611"/>
      <c r="G25" s="611"/>
      <c r="H25" s="611">
        <f>טבלה21[[#This Row],[מחיר לקרטון לפני ]]/טבלה21[[#This Row],[כמות בקרטון ]]*1.17</f>
        <v>0</v>
      </c>
      <c r="I25" s="611">
        <f>טבלה21[[#This Row],[כמות ]]*טבלה21[[#This Row],[מתכלה אחרי]]</f>
        <v>0</v>
      </c>
      <c r="J25" s="611">
        <f>טבלה21[[#This Row],[כמות ]]*טבלה21[[#This Row],[מחיר יח'' אחרי ]]</f>
        <v>0</v>
      </c>
      <c r="K25" s="553">
        <f>SUM(טבלה21[[#This Row],[פימת קפה]:[קיטים מיוחדים]])</f>
        <v>0</v>
      </c>
      <c r="L25" s="553" t="str">
        <f>IF(טבלה21[[#This Row],[כמות ]]=0,"",טבלה21[[#This Row],[כמות ]])</f>
        <v/>
      </c>
      <c r="M25" s="553">
        <f>SUMIF(טבלה3[מקט],טבלה21[[#This Row],[קוד מוצר]],טבלה3[כמות])</f>
        <v>0</v>
      </c>
      <c r="N25" s="553">
        <f>SUMIF(טבלה321[מקט],טבלה21[[#This Row],[קוד מוצר]],טבלה321[כמות])</f>
        <v>0</v>
      </c>
      <c r="O25" s="553">
        <f>SUMIF(טבלה516[מקט],טבלה21[[#This Row],[קוד מוצר]],טבלה516[כמות])</f>
        <v>0</v>
      </c>
      <c r="P25" s="553">
        <f>SUMIF(טבלה5[מק"ט],טבלה21[[#This Row],[קוד מוצר]],טבלה5[כמות])</f>
        <v>0</v>
      </c>
      <c r="Q25" s="553">
        <f>SUMIF(טבלה8[מק"ט],טבלה21[[#This Row],[קוד מוצר]],טבלה8[הזמנה])</f>
        <v>0</v>
      </c>
      <c r="R25" s="553">
        <f>SUMIF(טבלה8[מק"ט],טבלה21[[#This Row],[קוד מוצר]],טבלה8[הזמנה])</f>
        <v>0</v>
      </c>
      <c r="S25" s="553">
        <f>SUMIF(טבלה23[מקט],טבלה21[[#This Row],[קוד מוצר]],טבלה23[כמות])</f>
        <v>0</v>
      </c>
      <c r="T25" s="553">
        <f>SUMIF(טבלה36[מקט],טבלה21[[#This Row],[קוד מוצר]],טבלה36[כמות])</f>
        <v>0</v>
      </c>
      <c r="U25" s="553">
        <f>SUMIF(טבלה33[מק"ט],טבלה21[[#This Row],[קוד מוצר]],טבלה33[הזמנה])</f>
        <v>0</v>
      </c>
      <c r="V25" s="553">
        <f>SUMIF(טבלה34[עמודה1],טבלה21[[#This Row],[קוד מוצר]],טבלה34[הזמנה])</f>
        <v>0</v>
      </c>
      <c r="W25" s="607">
        <f>SUMIF(טבלה35[עמודה1],טבלה21[[#This Row],[קוד מוצר]],טבלה35[הזמנה])</f>
        <v>0</v>
      </c>
      <c r="X25" s="607">
        <f>SUMIF(טבלה3338[מק"ט],טבלה21[[#This Row],[קוד מוצר]],טבלה3338[הזמנה])</f>
        <v>0</v>
      </c>
      <c r="Y25" s="607">
        <f>SUMIF(טבלה3540[עמודה1],טבלה21[[#This Row],[קוד מוצר]],טבלה3540[הזמנה])</f>
        <v>0</v>
      </c>
      <c r="Z25" s="607">
        <f>SUMIF(טבלה2327[מקט],טבלה21[[#This Row],[קוד מוצר]],טבלה2327[כמות])</f>
        <v>0</v>
      </c>
      <c r="AA25" s="553">
        <f>SUMIF(טבלה2426[מקט],טבלה21[[#This Row],[קוד מוצר]],טבלה2426[כמות])</f>
        <v>0</v>
      </c>
      <c r="AB25" s="379"/>
      <c r="AC25" s="381"/>
      <c r="AD25" s="382"/>
      <c r="AE25" s="382"/>
    </row>
    <row r="26" spans="2:31" ht="15.6">
      <c r="B26" s="606" t="s">
        <v>590</v>
      </c>
      <c r="C26" s="553" t="s">
        <v>525</v>
      </c>
      <c r="D26" s="553" t="s">
        <v>610</v>
      </c>
      <c r="E26" s="553">
        <v>1</v>
      </c>
      <c r="F26" s="611"/>
      <c r="G26" s="611"/>
      <c r="H26" s="611">
        <f>טבלה21[[#This Row],[מחיר לקרטון לפני ]]/טבלה21[[#This Row],[כמות בקרטון ]]*1.17</f>
        <v>0</v>
      </c>
      <c r="I26" s="611">
        <f>טבלה21[[#This Row],[כמות ]]*טבלה21[[#This Row],[מתכלה אחרי]]</f>
        <v>0</v>
      </c>
      <c r="J26" s="611">
        <f>טבלה21[[#This Row],[כמות ]]*טבלה21[[#This Row],[מחיר יח'' אחרי ]]</f>
        <v>0</v>
      </c>
      <c r="K26" s="553">
        <f>SUM(טבלה21[[#This Row],[פימת קפה]:[קיטים מיוחדים]])</f>
        <v>0</v>
      </c>
      <c r="L26" s="553" t="str">
        <f>IF(טבלה21[[#This Row],[כמות ]]=0,"",טבלה21[[#This Row],[כמות ]])</f>
        <v/>
      </c>
      <c r="M26" s="553">
        <f>SUMIF(טבלה3[מקט],טבלה21[[#This Row],[קוד מוצר]],טבלה3[כמות])</f>
        <v>0</v>
      </c>
      <c r="N26" s="553">
        <f>SUMIF(טבלה321[מקט],טבלה21[[#This Row],[קוד מוצר]],טבלה321[כמות])</f>
        <v>0</v>
      </c>
      <c r="O26" s="553">
        <f>SUMIF(טבלה516[מקט],טבלה21[[#This Row],[קוד מוצר]],טבלה516[כמות])</f>
        <v>0</v>
      </c>
      <c r="P26" s="553">
        <f>SUMIF(טבלה5[מק"ט],טבלה21[[#This Row],[קוד מוצר]],טבלה5[כמות])</f>
        <v>0</v>
      </c>
      <c r="Q26" s="553">
        <f>SUMIF(טבלה8[מק"ט],טבלה21[[#This Row],[קוד מוצר]],טבלה8[הזמנה])</f>
        <v>0</v>
      </c>
      <c r="R26" s="553">
        <f>SUMIF(טבלה8[מק"ט],טבלה21[[#This Row],[קוד מוצר]],טבלה8[הזמנה])</f>
        <v>0</v>
      </c>
      <c r="S26" s="553">
        <f>SUMIF(טבלה23[מקט],טבלה21[[#This Row],[קוד מוצר]],טבלה23[כמות])</f>
        <v>0</v>
      </c>
      <c r="T26" s="553">
        <f>SUMIF(טבלה36[מקט],טבלה21[[#This Row],[קוד מוצר]],טבלה36[כמות])</f>
        <v>0</v>
      </c>
      <c r="U26" s="553">
        <f>SUMIF(טבלה33[מק"ט],טבלה21[[#This Row],[קוד מוצר]],טבלה33[הזמנה])</f>
        <v>0</v>
      </c>
      <c r="V26" s="553">
        <f>SUMIF(טבלה34[עמודה1],טבלה21[[#This Row],[קוד מוצר]],טבלה34[הזמנה])</f>
        <v>0</v>
      </c>
      <c r="W26" s="607">
        <f>SUMIF(טבלה35[עמודה1],טבלה21[[#This Row],[קוד מוצר]],טבלה35[הזמנה])</f>
        <v>0</v>
      </c>
      <c r="X26" s="607">
        <f>SUMIF(טבלה3338[מק"ט],טבלה21[[#This Row],[קוד מוצר]],טבלה3338[הזמנה])</f>
        <v>0</v>
      </c>
      <c r="Y26" s="607">
        <f>SUMIF(טבלה3540[עמודה1],טבלה21[[#This Row],[קוד מוצר]],טבלה3540[הזמנה])</f>
        <v>0</v>
      </c>
      <c r="Z26" s="607">
        <f>SUMIF(טבלה2327[מקט],טבלה21[[#This Row],[קוד מוצר]],טבלה2327[כמות])</f>
        <v>0</v>
      </c>
      <c r="AA26" s="553">
        <f>SUMIF(טבלה2426[מקט],טבלה21[[#This Row],[קוד מוצר]],טבלה2426[כמות])</f>
        <v>0</v>
      </c>
      <c r="AB26" s="379"/>
      <c r="AC26" s="381"/>
      <c r="AD26" s="382"/>
      <c r="AE26" s="382"/>
    </row>
    <row r="27" spans="2:31" ht="15.6">
      <c r="B27" s="606" t="s">
        <v>613</v>
      </c>
      <c r="C27" s="553" t="s">
        <v>614</v>
      </c>
      <c r="D27" s="553" t="s">
        <v>6</v>
      </c>
      <c r="E27" s="553">
        <v>1</v>
      </c>
      <c r="F27" s="611"/>
      <c r="G27" s="611"/>
      <c r="H27" s="611">
        <f>טבלה21[[#This Row],[מחיר לקרטון לפני ]]/טבלה21[[#This Row],[כמות בקרטון ]]*1.17</f>
        <v>0</v>
      </c>
      <c r="I27" s="611">
        <f>טבלה21[[#This Row],[כמות ]]*טבלה21[[#This Row],[מתכלה אחרי]]</f>
        <v>0</v>
      </c>
      <c r="J27" s="611">
        <f>טבלה21[[#This Row],[כמות ]]*טבלה21[[#This Row],[מחיר יח'' אחרי ]]</f>
        <v>0</v>
      </c>
      <c r="K27" s="553">
        <f>SUM(טבלה21[[#This Row],[פימת קפה]:[קיטים מיוחדים]])</f>
        <v>0</v>
      </c>
      <c r="L27" s="553" t="str">
        <f>IF(טבלה21[[#This Row],[כמות ]]=0,"",טבלה21[[#This Row],[כמות ]])</f>
        <v/>
      </c>
      <c r="M27" s="608">
        <f>SUMIF(טבלה3[מקט],טבלה21[[#This Row],[קוד מוצר]],טבלה3[כמות])</f>
        <v>0</v>
      </c>
      <c r="N27" s="608">
        <f>SUMIF(טבלה321[מקט],טבלה21[[#This Row],[קוד מוצר]],טבלה321[כמות])</f>
        <v>0</v>
      </c>
      <c r="O27" s="608">
        <f>SUMIF(טבלה516[מקט],טבלה21[[#This Row],[קוד מוצר]],טבלה516[כמות])</f>
        <v>0</v>
      </c>
      <c r="P27" s="608">
        <f>SUMIF(טבלה5[מק"ט],טבלה21[[#This Row],[קוד מוצר]],טבלה5[כמות])</f>
        <v>0</v>
      </c>
      <c r="Q27" s="608">
        <f>SUMIF(טבלה8[מק"ט],טבלה21[[#This Row],[קוד מוצר]],טבלה8[הזמנה])</f>
        <v>0</v>
      </c>
      <c r="R27" s="608">
        <f>SUMIF(טבלה8[מק"ט],טבלה21[[#This Row],[קוד מוצר]],טבלה8[הזמנה])</f>
        <v>0</v>
      </c>
      <c r="S27" s="608">
        <f>SUMIF(טבלה23[מקט],טבלה21[[#This Row],[קוד מוצר]],טבלה23[כמות])</f>
        <v>0</v>
      </c>
      <c r="T27" s="608">
        <f>SUMIF(טבלה36[מקט],טבלה21[[#This Row],[קוד מוצר]],טבלה36[כמות])</f>
        <v>0</v>
      </c>
      <c r="U27" s="553">
        <f>SUMIF(טבלה33[מק"ט],טבלה21[[#This Row],[קוד מוצר]],טבלה33[הזמנה])</f>
        <v>0</v>
      </c>
      <c r="V27" s="608">
        <f>SUMIF(טבלה34[עמודה1],טבלה21[[#This Row],[קוד מוצר]],טבלה34[הזמנה])</f>
        <v>0</v>
      </c>
      <c r="W27" s="607">
        <f>SUMIF(טבלה35[עמודה1],טבלה21[[#This Row],[קוד מוצר]],טבלה35[הזמנה])</f>
        <v>0</v>
      </c>
      <c r="X27" s="607">
        <f>SUMIF(טבלה3338[מק"ט],טבלה21[[#This Row],[קוד מוצר]],טבלה3338[הזמנה])</f>
        <v>0</v>
      </c>
      <c r="Y27" s="607">
        <f>SUMIF(טבלה3540[עמודה1],טבלה21[[#This Row],[קוד מוצר]],טבלה3540[הזמנה])</f>
        <v>0</v>
      </c>
      <c r="Z27" s="607">
        <f>SUMIF(טבלה2327[מקט],טבלה21[[#This Row],[קוד מוצר]],טבלה2327[כמות])</f>
        <v>0</v>
      </c>
      <c r="AA27" s="553">
        <f>SUMIF(טבלה2426[מקט],טבלה21[[#This Row],[קוד מוצר]],טבלה2426[כמות])</f>
        <v>0</v>
      </c>
      <c r="AB27" s="379"/>
      <c r="AC27" s="381"/>
      <c r="AD27" s="379"/>
      <c r="AE27" s="382"/>
    </row>
    <row r="28" spans="2:31" ht="15.6">
      <c r="B28" s="612"/>
      <c r="C28" s="613"/>
      <c r="D28" s="613"/>
      <c r="E28" s="613"/>
      <c r="F28" s="616"/>
      <c r="G28" s="616"/>
      <c r="H28" s="616"/>
      <c r="I28" s="616">
        <f>SUBTOTAL(109,טבלה21[סה"כ מתכלה])</f>
        <v>0</v>
      </c>
      <c r="J28" s="616">
        <f>SUBTOTAL(109,טבלה21[סה"כ רגיל])</f>
        <v>0</v>
      </c>
      <c r="K28" s="616">
        <f>SUBTOTAL(109,טבלה21[[כמות ]])</f>
        <v>0</v>
      </c>
      <c r="L28" s="614"/>
      <c r="M28" s="614"/>
      <c r="N28" s="614"/>
      <c r="O28" s="614"/>
      <c r="P28" s="614"/>
      <c r="Q28" s="614"/>
      <c r="R28" s="614"/>
      <c r="S28" s="614"/>
      <c r="T28" s="614"/>
      <c r="U28" s="616"/>
      <c r="V28" s="614"/>
      <c r="W28" s="615"/>
      <c r="X28" s="615"/>
      <c r="Y28" s="615"/>
      <c r="Z28" s="615"/>
      <c r="AA28" s="614"/>
      <c r="AB28" s="285"/>
    </row>
    <row r="29" spans="2:31" ht="14.4" thickBot="1">
      <c r="AB29" s="285"/>
    </row>
    <row r="30" spans="2:31" ht="14.4" thickBot="1">
      <c r="H30" s="620" t="s">
        <v>983</v>
      </c>
      <c r="I30" s="617">
        <f>טבלה21[[#Totals],[סה"כ מתכלה]]-טבלה21[[#Totals],[סה"כ רגיל]]</f>
        <v>0</v>
      </c>
      <c r="J30" s="618"/>
      <c r="AB30" s="285"/>
    </row>
    <row r="31" spans="2:31" ht="14.4" thickBot="1">
      <c r="H31" s="621" t="s">
        <v>984</v>
      </c>
      <c r="I31" s="622">
        <v>800</v>
      </c>
      <c r="J31" s="619"/>
      <c r="AB31" s="285"/>
    </row>
    <row r="32" spans="2:31" ht="14.4" thickBot="1">
      <c r="H32" s="620" t="s">
        <v>985</v>
      </c>
      <c r="I32" s="623">
        <f>I30/I31</f>
        <v>0</v>
      </c>
      <c r="J32" s="619"/>
      <c r="AB32" s="285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B1:Q288"/>
  <sheetViews>
    <sheetView rightToLeft="1" topLeftCell="G1" zoomScaleNormal="100" workbookViewId="0">
      <selection activeCell="Q12" sqref="Q12"/>
    </sheetView>
  </sheetViews>
  <sheetFormatPr defaultColWidth="9" defaultRowHeight="13.8"/>
  <cols>
    <col min="1" max="1" width="9" style="10"/>
    <col min="2" max="2" width="11" style="10" customWidth="1"/>
    <col min="3" max="3" width="29.19921875" style="10" customWidth="1"/>
    <col min="4" max="4" width="14.3984375" style="10" customWidth="1"/>
    <col min="5" max="5" width="9.19921875" style="10" customWidth="1"/>
    <col min="6" max="6" width="14.69921875" style="36" customWidth="1"/>
    <col min="7" max="7" width="9" style="10" customWidth="1"/>
    <col min="8" max="8" width="11.19921875" style="10" customWidth="1"/>
    <col min="9" max="9" width="6.59765625" style="50" bestFit="1" customWidth="1"/>
    <col min="10" max="10" width="11" style="36" customWidth="1"/>
    <col min="11" max="11" width="16.19921875" style="10" customWidth="1"/>
    <col min="12" max="12" width="9" style="10"/>
    <col min="13" max="13" width="15.69921875" style="10" customWidth="1"/>
    <col min="14" max="14" width="23.19921875" style="10" customWidth="1"/>
    <col min="15" max="15" width="15" style="10" customWidth="1"/>
    <col min="16" max="16" width="19.8984375" style="10" customWidth="1"/>
    <col min="17" max="17" width="14.09765625" style="10" customWidth="1"/>
    <col min="18" max="16384" width="9" style="10"/>
  </cols>
  <sheetData>
    <row r="1" spans="2:17" ht="15.6" customHeight="1">
      <c r="B1" s="10" t="s">
        <v>179</v>
      </c>
      <c r="C1" s="10" t="s">
        <v>16</v>
      </c>
      <c r="D1" s="10" t="s">
        <v>180</v>
      </c>
      <c r="E1" s="10" t="s">
        <v>181</v>
      </c>
      <c r="F1" s="10" t="s">
        <v>182</v>
      </c>
      <c r="G1" s="10" t="s">
        <v>183</v>
      </c>
      <c r="H1" s="10" t="s">
        <v>184</v>
      </c>
      <c r="I1" s="50" t="s">
        <v>9</v>
      </c>
      <c r="J1" s="10" t="s">
        <v>22</v>
      </c>
      <c r="K1" s="10" t="s">
        <v>185</v>
      </c>
    </row>
    <row r="2" spans="2:17" ht="15.6" customHeight="1">
      <c r="B2" s="43">
        <v>5210</v>
      </c>
      <c r="C2" s="43" t="s">
        <v>186</v>
      </c>
      <c r="D2" s="43"/>
      <c r="E2" s="44">
        <v>20.98828</v>
      </c>
      <c r="F2" s="44">
        <v>29</v>
      </c>
      <c r="G2" s="45">
        <v>27.626609802246094</v>
      </c>
      <c r="H2" s="43" t="s">
        <v>8</v>
      </c>
      <c r="I2" s="51"/>
      <c r="J2" s="36">
        <f>Table1[[#This Row],[כמות]]*Table1[[#This Row],[מחיר לקוח]]</f>
        <v>0</v>
      </c>
      <c r="K2" s="37" t="s">
        <v>187</v>
      </c>
    </row>
    <row r="3" spans="2:17" ht="15.6" customHeight="1">
      <c r="B3" s="43">
        <v>279</v>
      </c>
      <c r="C3" s="43" t="s">
        <v>188</v>
      </c>
      <c r="D3" s="43"/>
      <c r="E3" s="44">
        <v>17.05153</v>
      </c>
      <c r="F3" s="44">
        <v>26</v>
      </c>
      <c r="G3" s="45">
        <v>34.417196420522835</v>
      </c>
      <c r="H3" s="43" t="s">
        <v>8</v>
      </c>
      <c r="I3" s="51"/>
      <c r="J3" s="36">
        <f>Table1[[#This Row],[כמות]]*Table1[[#This Row],[מחיר לקוח]]</f>
        <v>0</v>
      </c>
      <c r="K3" s="37" t="s">
        <v>187</v>
      </c>
    </row>
    <row r="4" spans="2:17" ht="15.6" customHeight="1">
      <c r="B4" s="43">
        <v>1211</v>
      </c>
      <c r="C4" s="43" t="s">
        <v>189</v>
      </c>
      <c r="D4" s="43"/>
      <c r="E4" s="44">
        <v>11.418609999999999</v>
      </c>
      <c r="F4" s="44">
        <v>18.899999999999999</v>
      </c>
      <c r="G4" s="45">
        <v>39.584079915689131</v>
      </c>
      <c r="H4" s="43" t="s">
        <v>8</v>
      </c>
      <c r="I4" s="51"/>
      <c r="J4" s="36">
        <f>Table1[[#This Row],[כמות]]*Table1[[#This Row],[מחיר לקוח]]</f>
        <v>0</v>
      </c>
      <c r="K4" s="37" t="s">
        <v>187</v>
      </c>
    </row>
    <row r="5" spans="2:17" ht="15.6" customHeight="1">
      <c r="B5" s="43">
        <v>4603</v>
      </c>
      <c r="C5" s="43" t="s">
        <v>190</v>
      </c>
      <c r="D5" s="43"/>
      <c r="E5" s="44">
        <v>6.8977219999999999</v>
      </c>
      <c r="F5" s="44">
        <v>11.5</v>
      </c>
      <c r="G5" s="45">
        <v>40.019806571628735</v>
      </c>
      <c r="H5" s="43" t="s">
        <v>191</v>
      </c>
      <c r="I5" s="51"/>
      <c r="J5" s="36">
        <f>Table1[[#This Row],[כמות]]*Table1[[#This Row],[מחיר לקוח]]</f>
        <v>0</v>
      </c>
      <c r="K5" s="37" t="s">
        <v>187</v>
      </c>
    </row>
    <row r="6" spans="2:17" ht="15.6" customHeight="1">
      <c r="B6" s="43">
        <v>3090</v>
      </c>
      <c r="C6" s="43" t="s">
        <v>480</v>
      </c>
      <c r="D6" s="43"/>
      <c r="E6" s="44">
        <v>10.7</v>
      </c>
      <c r="F6" s="44">
        <v>21.5</v>
      </c>
      <c r="G6" s="45">
        <v>50.232559026673783</v>
      </c>
      <c r="H6" s="43" t="s">
        <v>191</v>
      </c>
      <c r="I6" s="51"/>
      <c r="J6" s="36">
        <f>Table1[[#This Row],[כמות]]*Table1[[#This Row],[מחיר לקוח]]</f>
        <v>0</v>
      </c>
      <c r="K6" s="37" t="s">
        <v>187</v>
      </c>
    </row>
    <row r="7" spans="2:17" ht="15.6" customHeight="1">
      <c r="B7" s="43">
        <v>3106</v>
      </c>
      <c r="C7" s="43" t="s">
        <v>192</v>
      </c>
      <c r="D7" s="43"/>
      <c r="E7" s="44">
        <v>17.45</v>
      </c>
      <c r="F7" s="44">
        <v>21.5</v>
      </c>
      <c r="G7" s="45">
        <v>18.837205753769986</v>
      </c>
      <c r="H7" s="43" t="s">
        <v>191</v>
      </c>
      <c r="I7" s="51"/>
      <c r="J7" s="36">
        <f>Table1[[#This Row],[כמות]]*Table1[[#This Row],[מחיר לקוח]]</f>
        <v>0</v>
      </c>
      <c r="K7" s="37" t="s">
        <v>187</v>
      </c>
      <c r="M7" s="52" t="s">
        <v>194</v>
      </c>
      <c r="N7" s="53"/>
      <c r="P7" s="10" t="s">
        <v>195</v>
      </c>
      <c r="Q7" s="54">
        <f>Table1[[#Totals],[סה"כ]]+Table2[[#Totals],[סה"כ]]+Table3[[#Totals],[סה"כ]]+Table5[[#Totals],[סה"כ]]+Table6[[#Totals],[סה"כ]]+Table7[[#Totals],[סה"כ]]</f>
        <v>757.59999999999991</v>
      </c>
    </row>
    <row r="8" spans="2:17" ht="15.6" customHeight="1">
      <c r="B8" s="43">
        <v>5787</v>
      </c>
      <c r="C8" s="43" t="s">
        <v>193</v>
      </c>
      <c r="D8" s="43"/>
      <c r="E8" s="44">
        <v>19.2</v>
      </c>
      <c r="F8" s="44">
        <v>23</v>
      </c>
      <c r="G8" s="45">
        <v>16.521735813306726</v>
      </c>
      <c r="H8" s="43" t="s">
        <v>191</v>
      </c>
      <c r="I8" s="51"/>
      <c r="J8" s="36">
        <f>Table1[[#This Row],[כמות]]*Table1[[#This Row],[מחיר לקוח]]</f>
        <v>0</v>
      </c>
      <c r="K8" s="37" t="s">
        <v>187</v>
      </c>
      <c r="M8" s="55" t="s">
        <v>197</v>
      </c>
      <c r="N8" s="56"/>
      <c r="P8" s="10" t="s">
        <v>198</v>
      </c>
      <c r="Q8" s="57">
        <v>0.17</v>
      </c>
    </row>
    <row r="9" spans="2:17" ht="15.6" customHeight="1">
      <c r="B9" s="43">
        <v>500</v>
      </c>
      <c r="C9" s="43" t="s">
        <v>196</v>
      </c>
      <c r="D9" s="43"/>
      <c r="E9" s="44">
        <v>14.9</v>
      </c>
      <c r="F9" s="44">
        <v>23</v>
      </c>
      <c r="G9" s="45">
        <v>35.217384670091711</v>
      </c>
      <c r="H9" s="43" t="s">
        <v>8</v>
      </c>
      <c r="I9" s="51"/>
      <c r="J9" s="36">
        <f>Table1[[#This Row],[כמות]]*Table1[[#This Row],[מחיר לקוח]]</f>
        <v>0</v>
      </c>
      <c r="K9" s="37" t="s">
        <v>187</v>
      </c>
      <c r="M9" s="52" t="s">
        <v>200</v>
      </c>
      <c r="N9" s="58"/>
      <c r="O9" s="59"/>
      <c r="P9" s="10" t="s">
        <v>201</v>
      </c>
      <c r="Q9" s="60">
        <f>Q7*Q8</f>
        <v>128.792</v>
      </c>
    </row>
    <row r="10" spans="2:17" ht="15.6" customHeight="1">
      <c r="B10" s="43">
        <v>4704</v>
      </c>
      <c r="C10" s="43" t="s">
        <v>199</v>
      </c>
      <c r="D10" s="43"/>
      <c r="E10" s="44">
        <v>7.2</v>
      </c>
      <c r="F10" s="44">
        <v>11.5</v>
      </c>
      <c r="G10" s="45">
        <v>37.391306006390117</v>
      </c>
      <c r="H10" s="43" t="s">
        <v>191</v>
      </c>
      <c r="I10" s="51"/>
      <c r="J10" s="36">
        <f>Table1[[#This Row],[כמות]]*Table1[[#This Row],[מחיר לקוח]]</f>
        <v>0</v>
      </c>
      <c r="K10" s="37" t="s">
        <v>187</v>
      </c>
      <c r="M10" s="55" t="s">
        <v>203</v>
      </c>
      <c r="N10" s="56"/>
      <c r="P10" s="10" t="s">
        <v>204</v>
      </c>
      <c r="Q10" s="60">
        <f>Q9+Q7</f>
        <v>886.39199999999994</v>
      </c>
    </row>
    <row r="11" spans="2:17" ht="15.6" customHeight="1">
      <c r="B11" s="43">
        <v>501</v>
      </c>
      <c r="C11" s="43" t="s">
        <v>202</v>
      </c>
      <c r="D11" s="43"/>
      <c r="E11" s="44">
        <v>49.919710000000002</v>
      </c>
      <c r="F11" s="44">
        <v>25</v>
      </c>
      <c r="G11" s="45">
        <v>-99.6788330078125</v>
      </c>
      <c r="H11" s="43" t="s">
        <v>8</v>
      </c>
      <c r="I11" s="51"/>
      <c r="J11" s="36">
        <f>Table1[[#This Row],[כמות]]*Table1[[#This Row],[מחיר לקוח]]</f>
        <v>0</v>
      </c>
      <c r="K11" s="37" t="s">
        <v>187</v>
      </c>
      <c r="M11" s="52" t="s">
        <v>206</v>
      </c>
      <c r="N11" s="53"/>
      <c r="P11" s="10" t="s">
        <v>207</v>
      </c>
      <c r="Q11" s="54">
        <f>Table4[[#Totals],[סה"כ]]</f>
        <v>137.4</v>
      </c>
    </row>
    <row r="12" spans="2:17" ht="15.6" customHeight="1">
      <c r="B12" s="43">
        <v>636</v>
      </c>
      <c r="C12" s="43" t="s">
        <v>205</v>
      </c>
      <c r="D12" s="43"/>
      <c r="E12" s="44">
        <v>11.588369999999999</v>
      </c>
      <c r="F12" s="44">
        <v>17</v>
      </c>
      <c r="G12" s="45">
        <v>31.833121355842142</v>
      </c>
      <c r="H12" s="43" t="s">
        <v>8</v>
      </c>
      <c r="I12" s="51"/>
      <c r="J12" s="36">
        <f>Table1[[#This Row],[כמות]]*Table1[[#This Row],[מחיר לקוח]]</f>
        <v>0</v>
      </c>
      <c r="K12" s="37" t="s">
        <v>187</v>
      </c>
      <c r="P12" s="61" t="s">
        <v>209</v>
      </c>
      <c r="Q12" s="62">
        <f>Q10+Q11</f>
        <v>1023.7919999999999</v>
      </c>
    </row>
    <row r="13" spans="2:17" ht="15.6" customHeight="1">
      <c r="B13" s="43">
        <v>1545</v>
      </c>
      <c r="C13" s="43" t="s">
        <v>208</v>
      </c>
      <c r="D13" s="43"/>
      <c r="E13" s="44">
        <v>16.75375</v>
      </c>
      <c r="F13" s="44">
        <v>28</v>
      </c>
      <c r="G13" s="45">
        <v>40.165179116385325</v>
      </c>
      <c r="H13" s="43" t="s">
        <v>8</v>
      </c>
      <c r="I13" s="63"/>
      <c r="J13" s="36">
        <f>Table1[[#This Row],[כמות]]*Table1[[#This Row],[מחיר לקוח]]</f>
        <v>0</v>
      </c>
      <c r="K13" s="37" t="s">
        <v>187</v>
      </c>
    </row>
    <row r="14" spans="2:17" ht="15.6" customHeight="1">
      <c r="B14" s="42"/>
      <c r="C14" s="42"/>
      <c r="D14" s="42"/>
      <c r="E14" s="47"/>
      <c r="F14" s="46"/>
      <c r="G14" s="48"/>
      <c r="H14" s="42"/>
      <c r="I14" s="49"/>
      <c r="J14" s="46">
        <f>SUBTOTAL(109,Table1[סה"כ])</f>
        <v>0</v>
      </c>
      <c r="K14" s="42"/>
    </row>
    <row r="15" spans="2:17" ht="15.6" customHeight="1">
      <c r="B15" s="42"/>
      <c r="C15" s="42"/>
      <c r="D15" s="42"/>
      <c r="E15" s="47"/>
      <c r="F15" s="46"/>
      <c r="G15" s="48"/>
      <c r="H15" s="42"/>
      <c r="I15" s="49"/>
      <c r="J15" s="46"/>
      <c r="K15" s="42"/>
    </row>
    <row r="16" spans="2:17" ht="15.6" customHeight="1">
      <c r="B16" s="10" t="s">
        <v>179</v>
      </c>
      <c r="C16" s="10" t="s">
        <v>16</v>
      </c>
      <c r="D16" s="10" t="s">
        <v>180</v>
      </c>
      <c r="E16" s="10" t="s">
        <v>181</v>
      </c>
      <c r="F16" s="10" t="s">
        <v>182</v>
      </c>
      <c r="G16" s="10" t="s">
        <v>183</v>
      </c>
      <c r="H16" s="10" t="s">
        <v>184</v>
      </c>
      <c r="I16" s="50" t="s">
        <v>9</v>
      </c>
      <c r="J16" s="10" t="s">
        <v>22</v>
      </c>
      <c r="K16" s="10" t="s">
        <v>185</v>
      </c>
    </row>
    <row r="17" spans="2:11" ht="15.6" customHeight="1">
      <c r="B17" s="43">
        <v>4732</v>
      </c>
      <c r="C17" s="43" t="s">
        <v>242</v>
      </c>
      <c r="D17" s="43"/>
      <c r="E17" s="44">
        <v>7.2587520000000003</v>
      </c>
      <c r="F17" s="44">
        <v>9</v>
      </c>
      <c r="G17" s="45">
        <v>19.347201453314888</v>
      </c>
      <c r="H17" s="43" t="s">
        <v>231</v>
      </c>
      <c r="J17" s="36">
        <f>Table2[[#This Row],[כמות]]*Table2[[#This Row],[מחיר לקוח]]</f>
        <v>0</v>
      </c>
      <c r="K17" s="37" t="s">
        <v>211</v>
      </c>
    </row>
    <row r="18" spans="2:11" ht="15.6" customHeight="1">
      <c r="B18" s="43">
        <v>4733</v>
      </c>
      <c r="C18" s="43" t="s">
        <v>243</v>
      </c>
      <c r="D18" s="43"/>
      <c r="E18" s="44">
        <v>17.388000000000002</v>
      </c>
      <c r="F18" s="44">
        <v>22</v>
      </c>
      <c r="G18" s="45">
        <v>20.963634144176137</v>
      </c>
      <c r="H18" s="43" t="s">
        <v>231</v>
      </c>
      <c r="J18" s="36">
        <f>Table2[[#This Row],[כמות]]*Table2[[#This Row],[מחיר לקוח]]</f>
        <v>0</v>
      </c>
      <c r="K18" s="37" t="s">
        <v>211</v>
      </c>
    </row>
    <row r="19" spans="2:11" ht="15.6" customHeight="1">
      <c r="B19" s="43">
        <v>1910</v>
      </c>
      <c r="C19" s="43" t="s">
        <v>210</v>
      </c>
      <c r="D19" s="43"/>
      <c r="E19" s="44">
        <v>5.8079999999999998</v>
      </c>
      <c r="F19" s="44">
        <v>8.5</v>
      </c>
      <c r="G19" s="45">
        <v>31.670587203081915</v>
      </c>
      <c r="H19" s="43" t="s">
        <v>191</v>
      </c>
      <c r="J19" s="36">
        <f>Table2[[#This Row],[כמות]]*Table2[[#This Row],[מחיר לקוח]]</f>
        <v>0</v>
      </c>
      <c r="K19" s="37" t="s">
        <v>211</v>
      </c>
    </row>
    <row r="20" spans="2:11" ht="15.6" customHeight="1">
      <c r="B20" s="43">
        <v>5502</v>
      </c>
      <c r="C20" s="43" t="s">
        <v>212</v>
      </c>
      <c r="D20" s="43"/>
      <c r="E20" s="44">
        <v>21</v>
      </c>
      <c r="F20" s="44">
        <v>28</v>
      </c>
      <c r="G20" s="45">
        <v>25</v>
      </c>
      <c r="H20" s="43" t="s">
        <v>191</v>
      </c>
      <c r="J20" s="36">
        <f>Table2[[#This Row],[כמות]]*Table2[[#This Row],[מחיר לקוח]]</f>
        <v>0</v>
      </c>
      <c r="K20" s="37" t="s">
        <v>211</v>
      </c>
    </row>
    <row r="21" spans="2:11" ht="15.6" customHeight="1">
      <c r="B21" s="43">
        <v>5663</v>
      </c>
      <c r="C21" s="43" t="s">
        <v>213</v>
      </c>
      <c r="D21" s="43"/>
      <c r="E21" s="44">
        <v>2.73</v>
      </c>
      <c r="F21" s="44">
        <v>3.93</v>
      </c>
      <c r="G21" s="45">
        <v>30.534351839690505</v>
      </c>
      <c r="H21" s="43" t="s">
        <v>191</v>
      </c>
      <c r="J21" s="36">
        <f>Table2[[#This Row],[כמות]]*Table2[[#This Row],[מחיר לקוח]]</f>
        <v>0</v>
      </c>
      <c r="K21" s="37" t="s">
        <v>211</v>
      </c>
    </row>
    <row r="22" spans="2:11" ht="15.6" customHeight="1">
      <c r="B22" s="43">
        <v>991</v>
      </c>
      <c r="C22" s="43" t="s">
        <v>214</v>
      </c>
      <c r="D22" s="43"/>
      <c r="E22" s="44">
        <v>2.9039999999999999</v>
      </c>
      <c r="F22" s="44">
        <v>3.93</v>
      </c>
      <c r="G22" s="45">
        <v>26.1068703679381</v>
      </c>
      <c r="H22" s="43" t="s">
        <v>191</v>
      </c>
      <c r="J22" s="36">
        <f>Table2[[#This Row],[כמות]]*Table2[[#This Row],[מחיר לקוח]]</f>
        <v>0</v>
      </c>
      <c r="K22" s="37" t="s">
        <v>211</v>
      </c>
    </row>
    <row r="23" spans="2:11" ht="15.6" customHeight="1">
      <c r="B23" s="43">
        <v>5519</v>
      </c>
      <c r="C23" s="43" t="s">
        <v>467</v>
      </c>
      <c r="D23" s="43"/>
      <c r="E23" s="44">
        <v>8.7647999999999993</v>
      </c>
      <c r="F23" s="44">
        <v>11.7</v>
      </c>
      <c r="G23" s="45">
        <v>25.087177652981385</v>
      </c>
      <c r="H23" s="43" t="s">
        <v>231</v>
      </c>
      <c r="J23" s="36">
        <f>Table2[[#This Row],[כמות]]*Table2[[#This Row],[מחיר לקוח]]</f>
        <v>0</v>
      </c>
      <c r="K23" s="37" t="s">
        <v>211</v>
      </c>
    </row>
    <row r="24" spans="2:11" ht="15.6" customHeight="1">
      <c r="B24" s="43">
        <v>49</v>
      </c>
      <c r="C24" s="43" t="s">
        <v>215</v>
      </c>
      <c r="D24" s="43"/>
      <c r="E24" s="44">
        <v>8.9407999999999994</v>
      </c>
      <c r="F24" s="44">
        <v>11.18</v>
      </c>
      <c r="G24" s="45">
        <v>20.028627289074201</v>
      </c>
      <c r="H24" s="43" t="s">
        <v>191</v>
      </c>
      <c r="J24" s="36">
        <f>Table2[[#This Row],[כמות]]*Table2[[#This Row],[מחיר לקוח]]</f>
        <v>0</v>
      </c>
      <c r="K24" s="37" t="s">
        <v>211</v>
      </c>
    </row>
    <row r="25" spans="2:11" ht="15.6" customHeight="1">
      <c r="B25" s="43">
        <v>52</v>
      </c>
      <c r="C25" s="43" t="s">
        <v>216</v>
      </c>
      <c r="D25" s="43"/>
      <c r="E25" s="44">
        <v>7.9463990000000004</v>
      </c>
      <c r="F25" s="44">
        <v>10.58</v>
      </c>
      <c r="G25" s="45">
        <v>24.892256434912991</v>
      </c>
      <c r="H25" s="43" t="s">
        <v>191</v>
      </c>
      <c r="J25" s="36">
        <f>Table2[[#This Row],[כמות]]*Table2[[#This Row],[מחיר לקוח]]</f>
        <v>0</v>
      </c>
      <c r="K25" s="37" t="s">
        <v>211</v>
      </c>
    </row>
    <row r="26" spans="2:11" ht="15.6" customHeight="1">
      <c r="B26" s="43">
        <v>4879</v>
      </c>
      <c r="C26" s="43" t="s">
        <v>217</v>
      </c>
      <c r="D26" s="43"/>
      <c r="E26" s="44">
        <v>13.86</v>
      </c>
      <c r="F26" s="44">
        <v>19.75</v>
      </c>
      <c r="G26" s="45">
        <v>29.82278654846964</v>
      </c>
      <c r="H26" s="43" t="s">
        <v>191</v>
      </c>
      <c r="J26" s="36">
        <f>Table2[[#This Row],[כמות]]*Table2[[#This Row],[מחיר לקוח]]</f>
        <v>0</v>
      </c>
      <c r="K26" s="37" t="s">
        <v>211</v>
      </c>
    </row>
    <row r="27" spans="2:11" ht="15.6" customHeight="1">
      <c r="B27" s="43">
        <v>3091</v>
      </c>
      <c r="C27" s="43" t="s">
        <v>218</v>
      </c>
      <c r="D27" s="43"/>
      <c r="E27" s="44">
        <v>15.224</v>
      </c>
      <c r="F27" s="44">
        <v>18</v>
      </c>
      <c r="G27" s="45">
        <v>15.422227647569445</v>
      </c>
      <c r="H27" s="43" t="s">
        <v>191</v>
      </c>
      <c r="J27" s="36">
        <f>Table2[[#This Row],[כמות]]*Table2[[#This Row],[מחיר לקוח]]</f>
        <v>0</v>
      </c>
      <c r="K27" s="37" t="s">
        <v>211</v>
      </c>
    </row>
    <row r="28" spans="2:11" ht="15.6" customHeight="1">
      <c r="B28" s="43">
        <v>5503</v>
      </c>
      <c r="C28" s="43" t="s">
        <v>219</v>
      </c>
      <c r="D28" s="43"/>
      <c r="E28" s="44">
        <v>26.6</v>
      </c>
      <c r="F28" s="44">
        <v>34</v>
      </c>
      <c r="G28" s="45">
        <v>21.764704760383157</v>
      </c>
      <c r="H28" s="43" t="s">
        <v>191</v>
      </c>
      <c r="J28" s="36">
        <f>Table2[[#This Row],[כמות]]*Table2[[#This Row],[מחיר לקוח]]</f>
        <v>0</v>
      </c>
      <c r="K28" s="37" t="s">
        <v>211</v>
      </c>
    </row>
    <row r="29" spans="2:11" ht="15.6" customHeight="1">
      <c r="B29" s="43">
        <v>46</v>
      </c>
      <c r="C29" s="43" t="s">
        <v>220</v>
      </c>
      <c r="D29" s="43"/>
      <c r="E29" s="44">
        <v>3.7488000000000001</v>
      </c>
      <c r="F29" s="44">
        <v>4.7</v>
      </c>
      <c r="G29" s="45">
        <v>20.238288726737196</v>
      </c>
      <c r="H29" s="43" t="s">
        <v>191</v>
      </c>
      <c r="J29" s="36">
        <f>Table2[[#This Row],[כמות]]*Table2[[#This Row],[מחיר לקוח]]</f>
        <v>0</v>
      </c>
      <c r="K29" s="37" t="s">
        <v>211</v>
      </c>
    </row>
    <row r="30" spans="2:11" ht="15.6" customHeight="1">
      <c r="B30" s="43">
        <v>5664</v>
      </c>
      <c r="C30" s="43" t="s">
        <v>221</v>
      </c>
      <c r="D30" s="43"/>
      <c r="E30" s="44">
        <v>4.1223000000000001</v>
      </c>
      <c r="F30" s="44">
        <v>4.7</v>
      </c>
      <c r="G30" s="45">
        <v>12.291482653170755</v>
      </c>
      <c r="H30" s="43" t="s">
        <v>191</v>
      </c>
      <c r="J30" s="36">
        <f>Table2[[#This Row],[כמות]]*Table2[[#This Row],[מחיר לקוח]]</f>
        <v>0</v>
      </c>
      <c r="K30" s="37" t="s">
        <v>211</v>
      </c>
    </row>
    <row r="31" spans="2:11" ht="15.6" customHeight="1">
      <c r="B31" s="43">
        <v>5510</v>
      </c>
      <c r="C31" s="43" t="s">
        <v>222</v>
      </c>
      <c r="D31" s="43"/>
      <c r="E31" s="44">
        <v>6.65</v>
      </c>
      <c r="F31" s="44">
        <v>4.91</v>
      </c>
      <c r="G31" s="45">
        <v>-35.437888025035605</v>
      </c>
      <c r="H31" s="43" t="s">
        <v>191</v>
      </c>
      <c r="J31" s="36">
        <f>Table2[[#This Row],[כמות]]*Table2[[#This Row],[מחיר לקוח]]</f>
        <v>0</v>
      </c>
      <c r="K31" s="37" t="s">
        <v>211</v>
      </c>
    </row>
    <row r="32" spans="2:11" ht="15.6" customHeight="1">
      <c r="B32" s="43">
        <v>1014</v>
      </c>
      <c r="C32" s="43" t="s">
        <v>223</v>
      </c>
      <c r="D32" s="43"/>
      <c r="E32" s="44">
        <v>3.7223999999999999</v>
      </c>
      <c r="F32" s="44">
        <v>4.91</v>
      </c>
      <c r="G32" s="45">
        <v>24.1873713705019</v>
      </c>
      <c r="H32" s="43" t="s">
        <v>24</v>
      </c>
      <c r="J32" s="36">
        <f>Table2[[#This Row],[כמות]]*Table2[[#This Row],[מחיר לקוח]]</f>
        <v>0</v>
      </c>
      <c r="K32" s="37" t="s">
        <v>211</v>
      </c>
    </row>
    <row r="33" spans="2:11" ht="15.6" customHeight="1">
      <c r="B33" s="43">
        <v>4913</v>
      </c>
      <c r="C33" s="43" t="s">
        <v>224</v>
      </c>
      <c r="D33" s="43"/>
      <c r="E33" s="44">
        <v>6.4416000000000002</v>
      </c>
      <c r="F33" s="44">
        <v>8.58</v>
      </c>
      <c r="G33" s="45">
        <v>24.923078051685593</v>
      </c>
      <c r="H33" s="43" t="s">
        <v>191</v>
      </c>
      <c r="J33" s="36">
        <f>Table2[[#This Row],[כמות]]*Table2[[#This Row],[מחיר לקוח]]</f>
        <v>0</v>
      </c>
      <c r="K33" s="37" t="s">
        <v>211</v>
      </c>
    </row>
    <row r="34" spans="2:11" ht="15.6" customHeight="1">
      <c r="B34" s="43">
        <v>38</v>
      </c>
      <c r="C34" s="43" t="s">
        <v>468</v>
      </c>
      <c r="D34" s="43"/>
      <c r="E34" s="44">
        <v>2.4727999999999999</v>
      </c>
      <c r="F34" s="44">
        <v>3.3</v>
      </c>
      <c r="G34" s="45">
        <v>25.066665086842523</v>
      </c>
      <c r="H34" s="43" t="s">
        <v>191</v>
      </c>
      <c r="J34" s="36">
        <f>Table2[[#This Row],[כמות]]*Table2[[#This Row],[מחיר לקוח]]</f>
        <v>0</v>
      </c>
      <c r="K34" s="37" t="s">
        <v>211</v>
      </c>
    </row>
    <row r="35" spans="2:11" ht="15.6" customHeight="1">
      <c r="B35" s="43">
        <v>1813</v>
      </c>
      <c r="C35" s="43" t="s">
        <v>469</v>
      </c>
      <c r="D35" s="43"/>
      <c r="E35" s="44">
        <v>19.184000000000001</v>
      </c>
      <c r="F35" s="44">
        <v>25</v>
      </c>
      <c r="G35" s="45">
        <v>23.263999938964844</v>
      </c>
      <c r="H35" s="43" t="s">
        <v>8</v>
      </c>
      <c r="J35" s="36">
        <f>Table2[[#This Row],[כמות]]*Table2[[#This Row],[מחיר לקוח]]</f>
        <v>0</v>
      </c>
      <c r="K35" s="37" t="s">
        <v>211</v>
      </c>
    </row>
    <row r="36" spans="2:11" ht="15.6" customHeight="1">
      <c r="B36" s="43">
        <v>4834</v>
      </c>
      <c r="C36" s="43" t="s">
        <v>470</v>
      </c>
      <c r="D36" s="43"/>
      <c r="E36" s="44">
        <v>10.3224</v>
      </c>
      <c r="F36" s="44">
        <v>12.8</v>
      </c>
      <c r="G36" s="45">
        <v>19.356257925089331</v>
      </c>
      <c r="H36" s="43" t="s">
        <v>191</v>
      </c>
      <c r="J36" s="36">
        <f>Table2[[#This Row],[כמות]]*Table2[[#This Row],[מחיר לקוח]]</f>
        <v>0</v>
      </c>
      <c r="K36" s="37" t="s">
        <v>211</v>
      </c>
    </row>
    <row r="37" spans="2:11" ht="15.6" customHeight="1">
      <c r="B37" s="43">
        <v>5845</v>
      </c>
      <c r="C37" s="43" t="s">
        <v>225</v>
      </c>
      <c r="D37" s="43"/>
      <c r="E37" s="44">
        <v>8.449999</v>
      </c>
      <c r="F37" s="44">
        <v>11.6</v>
      </c>
      <c r="G37" s="45">
        <v>27.155184674914633</v>
      </c>
      <c r="H37" s="43" t="s">
        <v>191</v>
      </c>
      <c r="J37" s="36">
        <f>Table2[[#This Row],[כמות]]*Table2[[#This Row],[מחיר לקוח]]</f>
        <v>0</v>
      </c>
      <c r="K37" s="37" t="s">
        <v>211</v>
      </c>
    </row>
    <row r="38" spans="2:11" ht="15.6" customHeight="1">
      <c r="B38" s="43">
        <v>1019</v>
      </c>
      <c r="C38" s="43" t="s">
        <v>226</v>
      </c>
      <c r="D38" s="43"/>
      <c r="E38" s="44">
        <v>21.859200000000001</v>
      </c>
      <c r="F38" s="44">
        <v>27.3</v>
      </c>
      <c r="G38" s="45">
        <v>19.929669835846447</v>
      </c>
      <c r="H38" s="43" t="s">
        <v>8</v>
      </c>
      <c r="J38" s="36">
        <f>Table2[[#This Row],[כמות]]*Table2[[#This Row],[מחיר לקוח]]</f>
        <v>0</v>
      </c>
      <c r="K38" s="37" t="s">
        <v>211</v>
      </c>
    </row>
    <row r="39" spans="2:11" ht="15.6" customHeight="1">
      <c r="B39" s="43">
        <v>5329</v>
      </c>
      <c r="C39" s="43" t="s">
        <v>471</v>
      </c>
      <c r="D39" s="43"/>
      <c r="E39" s="44">
        <v>11.747999999999999</v>
      </c>
      <c r="F39" s="44">
        <v>15.6</v>
      </c>
      <c r="G39" s="45">
        <v>24.69230860459967</v>
      </c>
      <c r="H39" s="43" t="s">
        <v>191</v>
      </c>
      <c r="J39" s="36">
        <f>Table2[[#This Row],[כמות]]*Table2[[#This Row],[מחיר לקוח]]</f>
        <v>0</v>
      </c>
      <c r="K39" s="37" t="s">
        <v>211</v>
      </c>
    </row>
    <row r="40" spans="2:11" ht="15.6" customHeight="1">
      <c r="B40" s="43">
        <v>5967</v>
      </c>
      <c r="C40" s="43" t="s">
        <v>472</v>
      </c>
      <c r="D40" s="43"/>
      <c r="E40" s="44">
        <v>21.859200000000001</v>
      </c>
      <c r="F40" s="44">
        <v>29</v>
      </c>
      <c r="G40" s="45">
        <v>24.623449917497307</v>
      </c>
      <c r="H40" s="43" t="s">
        <v>191</v>
      </c>
      <c r="J40" s="36">
        <f>Table2[[#This Row],[כמות]]*Table2[[#This Row],[מחיר לקוח]]</f>
        <v>0</v>
      </c>
      <c r="K40" s="37" t="s">
        <v>211</v>
      </c>
    </row>
    <row r="41" spans="2:11" ht="15.6" customHeight="1">
      <c r="B41" s="43">
        <v>5980</v>
      </c>
      <c r="C41" s="43" t="s">
        <v>473</v>
      </c>
      <c r="D41" s="43"/>
      <c r="E41" s="44">
        <v>7.3391999999999999</v>
      </c>
      <c r="F41" s="44">
        <v>9.8000000000000007</v>
      </c>
      <c r="G41" s="45">
        <v>25.110200471095641</v>
      </c>
      <c r="H41" s="43" t="s">
        <v>191</v>
      </c>
      <c r="J41" s="36">
        <f>Table2[[#This Row],[כמות]]*Table2[[#This Row],[מחיר לקוח]]</f>
        <v>0</v>
      </c>
      <c r="K41" s="37" t="s">
        <v>211</v>
      </c>
    </row>
    <row r="42" spans="2:11" ht="15.6" customHeight="1">
      <c r="B42" s="43">
        <v>5511</v>
      </c>
      <c r="C42" s="43" t="s">
        <v>227</v>
      </c>
      <c r="D42" s="43"/>
      <c r="E42" s="44">
        <v>0.95</v>
      </c>
      <c r="F42" s="44">
        <v>1.4</v>
      </c>
      <c r="G42" s="45">
        <v>32.142852581277111</v>
      </c>
      <c r="H42" s="43" t="s">
        <v>191</v>
      </c>
      <c r="J42" s="36">
        <f>Table2[[#This Row],[כמות]]*Table2[[#This Row],[מחיר לקוח]]</f>
        <v>0</v>
      </c>
      <c r="K42" s="37" t="s">
        <v>211</v>
      </c>
    </row>
    <row r="43" spans="2:11" ht="15.6" customHeight="1">
      <c r="B43" s="43">
        <v>4720</v>
      </c>
      <c r="C43" s="43" t="s">
        <v>228</v>
      </c>
      <c r="D43" s="43"/>
      <c r="E43" s="44">
        <v>1.0384</v>
      </c>
      <c r="F43" s="44">
        <v>1.4</v>
      </c>
      <c r="G43" s="45">
        <v>25.828574824819817</v>
      </c>
      <c r="H43" s="43" t="s">
        <v>191</v>
      </c>
      <c r="J43" s="36">
        <f>Table2[[#This Row],[כמות]]*Table2[[#This Row],[מחיר לקוח]]</f>
        <v>0</v>
      </c>
      <c r="K43" s="37" t="s">
        <v>211</v>
      </c>
    </row>
    <row r="44" spans="2:11" ht="15.6" customHeight="1">
      <c r="B44" s="43">
        <v>1020</v>
      </c>
      <c r="C44" s="43" t="s">
        <v>229</v>
      </c>
      <c r="D44" s="43"/>
      <c r="E44" s="44">
        <v>1.0384</v>
      </c>
      <c r="F44" s="44">
        <v>1.4</v>
      </c>
      <c r="G44" s="45">
        <v>25.828574824819817</v>
      </c>
      <c r="H44" s="43" t="s">
        <v>191</v>
      </c>
      <c r="J44" s="36">
        <f>Table2[[#This Row],[כמות]]*Table2[[#This Row],[מחיר לקוח]]</f>
        <v>0</v>
      </c>
      <c r="K44" s="37" t="s">
        <v>211</v>
      </c>
    </row>
    <row r="45" spans="2:11" ht="15.6" customHeight="1">
      <c r="B45" s="43">
        <v>5660</v>
      </c>
      <c r="C45" s="43" t="s">
        <v>230</v>
      </c>
      <c r="D45" s="43"/>
      <c r="E45" s="44">
        <v>4.6816000000000004</v>
      </c>
      <c r="F45" s="44">
        <v>6</v>
      </c>
      <c r="G45" s="45">
        <v>21.973331769307453</v>
      </c>
      <c r="H45" s="43" t="s">
        <v>231</v>
      </c>
      <c r="J45" s="36">
        <f>Table2[[#This Row],[כמות]]*Table2[[#This Row],[מחיר לקוח]]</f>
        <v>0</v>
      </c>
      <c r="K45" s="37" t="s">
        <v>211</v>
      </c>
    </row>
    <row r="46" spans="2:11" ht="15.6" customHeight="1">
      <c r="B46" s="43">
        <v>5661</v>
      </c>
      <c r="C46" s="43" t="s">
        <v>232</v>
      </c>
      <c r="D46" s="43"/>
      <c r="E46" s="44">
        <v>4.6816000000000004</v>
      </c>
      <c r="F46" s="44">
        <v>6</v>
      </c>
      <c r="G46" s="45">
        <v>21.973331769307453</v>
      </c>
      <c r="H46" s="43" t="s">
        <v>231</v>
      </c>
      <c r="J46" s="36">
        <f>Table2[[#This Row],[כמות]]*Table2[[#This Row],[מחיר לקוח]]</f>
        <v>0</v>
      </c>
      <c r="K46" s="37" t="s">
        <v>211</v>
      </c>
    </row>
    <row r="47" spans="2:11" ht="15.6" customHeight="1">
      <c r="B47" s="43">
        <v>4195</v>
      </c>
      <c r="C47" s="43" t="s">
        <v>233</v>
      </c>
      <c r="D47" s="43"/>
      <c r="E47" s="44">
        <v>25.68</v>
      </c>
      <c r="F47" s="44">
        <v>41</v>
      </c>
      <c r="G47" s="45">
        <v>37.365857566275245</v>
      </c>
      <c r="H47" s="43" t="s">
        <v>191</v>
      </c>
      <c r="J47" s="36">
        <f>Table2[[#This Row],[כמות]]*Table2[[#This Row],[מחיר לקוח]]</f>
        <v>0</v>
      </c>
      <c r="K47" s="37" t="s">
        <v>211</v>
      </c>
    </row>
    <row r="48" spans="2:11" ht="15.6" customHeight="1">
      <c r="B48" s="43">
        <v>1202</v>
      </c>
      <c r="C48" s="43" t="s">
        <v>234</v>
      </c>
      <c r="D48" s="43"/>
      <c r="E48" s="44">
        <v>6.76</v>
      </c>
      <c r="F48" s="44">
        <v>8.9499999999999993</v>
      </c>
      <c r="G48" s="45">
        <v>24.469269576030488</v>
      </c>
      <c r="H48" s="43" t="s">
        <v>191</v>
      </c>
      <c r="J48" s="36">
        <f>Table2[[#This Row],[כמות]]*Table2[[#This Row],[מחיר לקוח]]</f>
        <v>0</v>
      </c>
      <c r="K48" s="37" t="s">
        <v>211</v>
      </c>
    </row>
    <row r="49" spans="2:15" ht="15.6" customHeight="1">
      <c r="B49" s="43">
        <v>4187</v>
      </c>
      <c r="C49" s="43" t="s">
        <v>235</v>
      </c>
      <c r="D49" s="43"/>
      <c r="E49" s="44">
        <v>15.6</v>
      </c>
      <c r="F49" s="44">
        <v>25</v>
      </c>
      <c r="G49" s="45">
        <v>37.599998474121094</v>
      </c>
      <c r="H49" s="43" t="s">
        <v>191</v>
      </c>
      <c r="J49" s="46">
        <f>Table2[[#This Row],[כמות]]*Table2[[#This Row],[מחיר לקוח]]</f>
        <v>0</v>
      </c>
      <c r="K49" s="37" t="s">
        <v>211</v>
      </c>
    </row>
    <row r="50" spans="2:15" ht="15.6" customHeight="1">
      <c r="B50" s="43">
        <v>3794</v>
      </c>
      <c r="C50" s="43" t="s">
        <v>474</v>
      </c>
      <c r="D50" s="43"/>
      <c r="E50" s="44">
        <v>6.8198879999999997</v>
      </c>
      <c r="F50" s="44">
        <v>7</v>
      </c>
      <c r="G50" s="45">
        <v>2.5730269295828685</v>
      </c>
      <c r="H50" s="43" t="s">
        <v>191</v>
      </c>
      <c r="J50" s="46">
        <f>Table2[[#This Row],[כמות]]*Table2[[#This Row],[מחיר לקוח]]</f>
        <v>0</v>
      </c>
      <c r="K50" s="37" t="s">
        <v>211</v>
      </c>
    </row>
    <row r="51" spans="2:15" ht="15.6" customHeight="1">
      <c r="B51" s="43">
        <v>4190</v>
      </c>
      <c r="C51" s="43" t="s">
        <v>236</v>
      </c>
      <c r="D51" s="43"/>
      <c r="E51" s="44">
        <v>20.120999999999999</v>
      </c>
      <c r="F51" s="44">
        <v>33</v>
      </c>
      <c r="G51" s="45">
        <v>39.02727184873639</v>
      </c>
      <c r="H51" s="43" t="s">
        <v>191</v>
      </c>
      <c r="J51" s="46">
        <f>Table2[[#This Row],[כמות]]*Table2[[#This Row],[מחיר לקוח]]</f>
        <v>0</v>
      </c>
      <c r="K51" s="37" t="s">
        <v>211</v>
      </c>
    </row>
    <row r="52" spans="2:15" ht="15.6" customHeight="1">
      <c r="B52" s="43">
        <v>4194</v>
      </c>
      <c r="C52" s="43" t="s">
        <v>237</v>
      </c>
      <c r="D52" s="43"/>
      <c r="E52" s="44">
        <v>23.31</v>
      </c>
      <c r="F52" s="44">
        <v>30</v>
      </c>
      <c r="G52" s="45">
        <v>22.300001780192058</v>
      </c>
      <c r="H52" s="43" t="s">
        <v>191</v>
      </c>
      <c r="J52" s="46">
        <f>Table2[[#This Row],[כמות]]*Table2[[#This Row],[מחיר לקוח]]</f>
        <v>0</v>
      </c>
      <c r="K52" s="37" t="s">
        <v>211</v>
      </c>
    </row>
    <row r="53" spans="2:15" ht="15.6" customHeight="1">
      <c r="B53" s="43">
        <v>4193</v>
      </c>
      <c r="C53" s="43" t="s">
        <v>238</v>
      </c>
      <c r="D53" s="43"/>
      <c r="E53" s="44">
        <v>20.120999999999999</v>
      </c>
      <c r="F53" s="44">
        <v>30</v>
      </c>
      <c r="G53" s="45">
        <v>32.929999033610024</v>
      </c>
      <c r="H53" s="43" t="s">
        <v>191</v>
      </c>
      <c r="J53" s="46">
        <f>Table2[[#This Row],[כמות]]*Table2[[#This Row],[מחיר לקוח]]</f>
        <v>0</v>
      </c>
      <c r="K53" s="37" t="s">
        <v>211</v>
      </c>
    </row>
    <row r="54" spans="2:15" ht="15.6" customHeight="1">
      <c r="B54" s="43">
        <v>4101</v>
      </c>
      <c r="C54" s="43" t="s">
        <v>239</v>
      </c>
      <c r="D54" s="43"/>
      <c r="E54" s="44">
        <v>115.2</v>
      </c>
      <c r="F54" s="44">
        <v>180</v>
      </c>
      <c r="G54" s="45">
        <v>36.000001695421005</v>
      </c>
      <c r="H54" s="43" t="s">
        <v>240</v>
      </c>
      <c r="J54" s="46">
        <f>Table2[[#This Row],[כמות]]*Table2[[#This Row],[מחיר לקוח]]</f>
        <v>0</v>
      </c>
      <c r="K54" s="37" t="s">
        <v>211</v>
      </c>
    </row>
    <row r="55" spans="2:15" ht="15.6" customHeight="1">
      <c r="B55" s="43">
        <v>4725</v>
      </c>
      <c r="C55" s="43" t="s">
        <v>475</v>
      </c>
      <c r="D55" s="43"/>
      <c r="E55" s="44">
        <v>7.5064000000000002</v>
      </c>
      <c r="F55" s="44">
        <v>9.4</v>
      </c>
      <c r="G55" s="45">
        <v>20.144681530594582</v>
      </c>
      <c r="H55" s="43" t="s">
        <v>191</v>
      </c>
      <c r="J55" s="46">
        <f>Table2[[#This Row],[כמות]]*Table2[[#This Row],[מחיר לקוח]]</f>
        <v>0</v>
      </c>
      <c r="K55" s="37" t="s">
        <v>211</v>
      </c>
    </row>
    <row r="56" spans="2:15" ht="15.6" customHeight="1">
      <c r="B56" s="43">
        <v>5509</v>
      </c>
      <c r="C56" s="43" t="s">
        <v>241</v>
      </c>
      <c r="D56" s="43"/>
      <c r="E56" s="44">
        <v>1.45</v>
      </c>
      <c r="F56" s="44">
        <v>1.7</v>
      </c>
      <c r="G56" s="45">
        <v>14.705881940452297</v>
      </c>
      <c r="H56" s="43" t="s">
        <v>191</v>
      </c>
      <c r="J56" s="46">
        <f>Table2[[#This Row],[כמות]]*Table2[[#This Row],[מחיר לקוח]]</f>
        <v>0</v>
      </c>
      <c r="K56" s="37" t="s">
        <v>211</v>
      </c>
    </row>
    <row r="57" spans="2:15" ht="15.6" customHeight="1">
      <c r="B57" s="43">
        <v>1429</v>
      </c>
      <c r="C57" s="43" t="s">
        <v>476</v>
      </c>
      <c r="D57" s="43"/>
      <c r="E57" s="44">
        <v>1.6456</v>
      </c>
      <c r="F57" s="44">
        <v>1.95</v>
      </c>
      <c r="G57" s="45">
        <v>15.610260459453375</v>
      </c>
      <c r="H57" s="43" t="s">
        <v>191</v>
      </c>
      <c r="J57" s="46">
        <f>Table2[[#This Row],[כמות]]*Table2[[#This Row],[מחיר לקוח]]</f>
        <v>0</v>
      </c>
      <c r="K57" s="37" t="s">
        <v>211</v>
      </c>
    </row>
    <row r="58" spans="2:15" ht="15.6" customHeight="1">
      <c r="B58" s="43">
        <v>870</v>
      </c>
      <c r="C58" s="43" t="s">
        <v>351</v>
      </c>
      <c r="D58" s="43"/>
      <c r="E58" s="44">
        <v>3.6295000000000002</v>
      </c>
      <c r="F58" s="44">
        <v>4.5999999999999996</v>
      </c>
      <c r="G58" s="45">
        <v>21.097831541514015</v>
      </c>
      <c r="H58" s="43" t="s">
        <v>191</v>
      </c>
      <c r="J58" s="46">
        <f>Table2[[#This Row],[כמות]]*Table2[[#This Row],[מחיר לקוח]]</f>
        <v>0</v>
      </c>
      <c r="K58" s="37" t="s">
        <v>211</v>
      </c>
    </row>
    <row r="59" spans="2:15" ht="15.6" customHeight="1">
      <c r="B59" s="43">
        <v>1039</v>
      </c>
      <c r="C59" s="43" t="s">
        <v>477</v>
      </c>
      <c r="D59" s="43"/>
      <c r="E59" s="44">
        <v>1.4432</v>
      </c>
      <c r="F59" s="44">
        <v>3</v>
      </c>
      <c r="G59" s="45">
        <v>51.893333594004311</v>
      </c>
      <c r="H59" s="43" t="s">
        <v>191</v>
      </c>
      <c r="J59" s="46">
        <f>Table2[[#This Row],[כמות]]*Table2[[#This Row],[מחיר לקוח]]</f>
        <v>0</v>
      </c>
      <c r="K59" s="37" t="s">
        <v>211</v>
      </c>
    </row>
    <row r="60" spans="2:15" ht="15.6" customHeight="1">
      <c r="B60" s="43">
        <v>5507</v>
      </c>
      <c r="C60" s="43" t="s">
        <v>478</v>
      </c>
      <c r="D60" s="43"/>
      <c r="E60" s="44">
        <v>4.9896000000000003</v>
      </c>
      <c r="F60" s="44">
        <v>6.65</v>
      </c>
      <c r="G60" s="45">
        <v>24.968419398136863</v>
      </c>
      <c r="H60" s="43" t="s">
        <v>191</v>
      </c>
      <c r="J60" s="46">
        <f>Table2[[#This Row],[כמות]]*Table2[[#This Row],[מחיר לקוח]]</f>
        <v>0</v>
      </c>
      <c r="K60" s="37" t="s">
        <v>211</v>
      </c>
    </row>
    <row r="61" spans="2:15" ht="15.6" customHeight="1">
      <c r="F61" s="46"/>
      <c r="J61" s="46">
        <f>SUBTOTAL(109,Table2[סה"כ])</f>
        <v>0</v>
      </c>
      <c r="K61" s="38"/>
    </row>
    <row r="62" spans="2:15" ht="15.6" customHeight="1">
      <c r="F62" s="46"/>
      <c r="J62" s="46"/>
      <c r="K62" s="38"/>
    </row>
    <row r="63" spans="2:15" ht="15.6" customHeight="1">
      <c r="B63" s="10" t="s">
        <v>179</v>
      </c>
      <c r="C63" s="10" t="s">
        <v>16</v>
      </c>
      <c r="D63" s="10" t="s">
        <v>180</v>
      </c>
      <c r="E63" s="10" t="s">
        <v>181</v>
      </c>
      <c r="F63" s="10" t="s">
        <v>182</v>
      </c>
      <c r="G63" s="10" t="s">
        <v>183</v>
      </c>
      <c r="H63" s="10" t="s">
        <v>184</v>
      </c>
      <c r="I63" s="50" t="s">
        <v>9</v>
      </c>
      <c r="J63" s="10" t="s">
        <v>22</v>
      </c>
      <c r="K63" s="10" t="s">
        <v>185</v>
      </c>
    </row>
    <row r="64" spans="2:15" ht="15.6" customHeight="1">
      <c r="B64" s="43">
        <v>2481</v>
      </c>
      <c r="C64" s="43" t="s">
        <v>244</v>
      </c>
      <c r="D64" s="43"/>
      <c r="E64" s="44">
        <v>7.6164379999999996</v>
      </c>
      <c r="F64" s="44">
        <v>15</v>
      </c>
      <c r="G64" s="45">
        <v>49.223747253417969</v>
      </c>
      <c r="H64" s="43" t="s">
        <v>8</v>
      </c>
      <c r="J64" s="36">
        <f>Table3[[#This Row],[כמות]]*Table3[[#This Row],[מחיר לקוח]]</f>
        <v>0</v>
      </c>
      <c r="K64" s="37" t="s">
        <v>245</v>
      </c>
      <c r="O64" s="134"/>
    </row>
    <row r="65" spans="2:15" ht="15.6" customHeight="1">
      <c r="B65" s="43">
        <v>3973</v>
      </c>
      <c r="C65" s="43" t="s">
        <v>246</v>
      </c>
      <c r="D65" s="43"/>
      <c r="E65" s="44">
        <v>13.2872</v>
      </c>
      <c r="F65" s="44">
        <v>22</v>
      </c>
      <c r="G65" s="45">
        <v>39.60363214666193</v>
      </c>
      <c r="H65" s="43" t="s">
        <v>8</v>
      </c>
      <c r="J65" s="36">
        <f>Table3[[#This Row],[כמות]]*Table3[[#This Row],[מחיר לקוח]]</f>
        <v>0</v>
      </c>
      <c r="K65" s="37" t="s">
        <v>245</v>
      </c>
    </row>
    <row r="66" spans="2:15" ht="15.6" customHeight="1">
      <c r="B66" s="43">
        <v>4088</v>
      </c>
      <c r="C66" s="43" t="s">
        <v>450</v>
      </c>
      <c r="D66" s="43"/>
      <c r="E66" s="44">
        <v>10.285869999999999</v>
      </c>
      <c r="F66" s="44">
        <v>15</v>
      </c>
      <c r="G66" s="45">
        <v>31.42752965291341</v>
      </c>
      <c r="H66" s="43" t="s">
        <v>8</v>
      </c>
      <c r="J66" s="36">
        <f>Table3[[#This Row],[כמות]]*Table3[[#This Row],[מחיר לקוח]]</f>
        <v>0</v>
      </c>
      <c r="K66" s="37" t="s">
        <v>245</v>
      </c>
      <c r="O66" s="134"/>
    </row>
    <row r="67" spans="2:15" ht="15.6" customHeight="1">
      <c r="B67" s="43">
        <v>78</v>
      </c>
      <c r="C67" s="43" t="s">
        <v>247</v>
      </c>
      <c r="D67" s="43"/>
      <c r="E67" s="44">
        <v>5.6196099999999998</v>
      </c>
      <c r="F67" s="44">
        <v>8.5</v>
      </c>
      <c r="G67" s="45">
        <v>33.886943143956799</v>
      </c>
      <c r="H67" s="43" t="s">
        <v>8</v>
      </c>
      <c r="J67" s="36">
        <f>Table3[[#This Row],[כמות]]*Table3[[#This Row],[מחיר לקוח]]</f>
        <v>0</v>
      </c>
      <c r="K67" s="37" t="s">
        <v>245</v>
      </c>
    </row>
    <row r="68" spans="2:15" ht="15.6" customHeight="1">
      <c r="B68" s="43">
        <v>3598</v>
      </c>
      <c r="C68" s="43" t="s">
        <v>248</v>
      </c>
      <c r="D68" s="43"/>
      <c r="E68" s="44">
        <v>23</v>
      </c>
      <c r="F68" s="44">
        <v>38</v>
      </c>
      <c r="G68" s="45">
        <v>39.473684210526315</v>
      </c>
      <c r="H68" s="43" t="s">
        <v>191</v>
      </c>
      <c r="J68" s="36">
        <f>Table3[[#This Row],[כמות]]*Table3[[#This Row],[מחיר לקוח]]</f>
        <v>0</v>
      </c>
      <c r="K68" s="37" t="s">
        <v>245</v>
      </c>
    </row>
    <row r="69" spans="2:15" ht="15.6" customHeight="1">
      <c r="B69" s="43">
        <v>2071</v>
      </c>
      <c r="C69" s="43" t="s">
        <v>249</v>
      </c>
      <c r="D69" s="43"/>
      <c r="E69" s="44">
        <v>3.0041820000000001</v>
      </c>
      <c r="F69" s="44">
        <v>4.7</v>
      </c>
      <c r="G69" s="45">
        <v>36.081234387386985</v>
      </c>
      <c r="H69" s="43" t="s">
        <v>8</v>
      </c>
      <c r="J69" s="36">
        <f>Table3[[#This Row],[כמות]]*Table3[[#This Row],[מחיר לקוח]]</f>
        <v>0</v>
      </c>
      <c r="K69" s="37" t="s">
        <v>245</v>
      </c>
    </row>
    <row r="70" spans="2:15" ht="15.6" customHeight="1">
      <c r="B70" s="43">
        <v>107</v>
      </c>
      <c r="C70" s="43" t="s">
        <v>250</v>
      </c>
      <c r="D70" s="43"/>
      <c r="E70" s="44">
        <v>10.594939999999999</v>
      </c>
      <c r="F70" s="44">
        <v>14</v>
      </c>
      <c r="G70" s="45">
        <v>24.321821757725306</v>
      </c>
      <c r="H70" s="43" t="s">
        <v>191</v>
      </c>
      <c r="I70" s="50">
        <v>5</v>
      </c>
      <c r="J70" s="36">
        <f>Table3[[#This Row],[כמות]]*Table3[[#This Row],[מחיר לקוח]]</f>
        <v>70</v>
      </c>
      <c r="K70" s="37" t="s">
        <v>245</v>
      </c>
      <c r="O70" s="134"/>
    </row>
    <row r="71" spans="2:15" ht="15.6" customHeight="1">
      <c r="B71" s="43">
        <v>2051</v>
      </c>
      <c r="C71" s="43" t="s">
        <v>251</v>
      </c>
      <c r="D71" s="43"/>
      <c r="E71" s="44">
        <v>4</v>
      </c>
      <c r="F71" s="44">
        <v>5.9</v>
      </c>
      <c r="G71" s="45">
        <v>32.203390926370929</v>
      </c>
      <c r="H71" s="43" t="s">
        <v>191</v>
      </c>
      <c r="J71" s="36">
        <f>Table3[[#This Row],[כמות]]*Table3[[#This Row],[מחיר לקוח]]</f>
        <v>0</v>
      </c>
      <c r="K71" s="37" t="s">
        <v>245</v>
      </c>
      <c r="O71" s="134"/>
    </row>
    <row r="72" spans="2:15" ht="15.6" customHeight="1">
      <c r="B72" s="43">
        <v>113</v>
      </c>
      <c r="C72" s="43" t="s">
        <v>252</v>
      </c>
      <c r="D72" s="43"/>
      <c r="E72" s="44">
        <v>10.998670000000001</v>
      </c>
      <c r="F72" s="44">
        <v>14.5</v>
      </c>
      <c r="G72" s="45">
        <v>24.147119193241515</v>
      </c>
      <c r="H72" s="43" t="s">
        <v>191</v>
      </c>
      <c r="J72" s="36">
        <f>Table3[[#This Row],[כמות]]*Table3[[#This Row],[מחיר לקוח]]</f>
        <v>0</v>
      </c>
      <c r="K72" s="37" t="s">
        <v>245</v>
      </c>
      <c r="O72" s="134"/>
    </row>
    <row r="73" spans="2:15" ht="15.6" customHeight="1">
      <c r="B73" s="43">
        <v>111</v>
      </c>
      <c r="C73" s="43" t="s">
        <v>253</v>
      </c>
      <c r="D73" s="43"/>
      <c r="E73" s="44">
        <v>2.4</v>
      </c>
      <c r="F73" s="44">
        <v>3.95</v>
      </c>
      <c r="G73" s="45">
        <v>39.240504648226668</v>
      </c>
      <c r="H73" s="43" t="s">
        <v>191</v>
      </c>
      <c r="J73" s="36">
        <f>Table3[[#This Row],[כמות]]*Table3[[#This Row],[מחיר לקוח]]</f>
        <v>0</v>
      </c>
      <c r="K73" s="37" t="s">
        <v>245</v>
      </c>
    </row>
    <row r="74" spans="2:15" ht="15.6" customHeight="1">
      <c r="B74" s="43">
        <v>144</v>
      </c>
      <c r="C74" s="43" t="s">
        <v>254</v>
      </c>
      <c r="D74" s="43"/>
      <c r="E74" s="44">
        <v>5.2</v>
      </c>
      <c r="F74" s="44">
        <v>6.5</v>
      </c>
      <c r="G74" s="45">
        <v>20.000002934382511</v>
      </c>
      <c r="H74" s="43" t="s">
        <v>191</v>
      </c>
      <c r="J74" s="36">
        <f>Table3[[#This Row],[כמות]]*Table3[[#This Row],[מחיר לקוח]]</f>
        <v>0</v>
      </c>
      <c r="K74" s="37" t="s">
        <v>245</v>
      </c>
    </row>
    <row r="75" spans="2:15" ht="15.6" customHeight="1">
      <c r="B75" s="43">
        <v>5666</v>
      </c>
      <c r="C75" s="43" t="s">
        <v>255</v>
      </c>
      <c r="D75" s="43"/>
      <c r="E75" s="44">
        <v>119.52</v>
      </c>
      <c r="F75" s="44">
        <v>140</v>
      </c>
      <c r="G75" s="45">
        <v>14.628568376813616</v>
      </c>
      <c r="H75" s="43" t="s">
        <v>231</v>
      </c>
      <c r="J75" s="36">
        <f>Table3[[#This Row],[כמות]]*Table3[[#This Row],[מחיר לקוח]]</f>
        <v>0</v>
      </c>
      <c r="K75" s="37" t="s">
        <v>245</v>
      </c>
    </row>
    <row r="76" spans="2:15" ht="15.6" customHeight="1">
      <c r="B76" s="43">
        <v>5625</v>
      </c>
      <c r="C76" s="43" t="s">
        <v>256</v>
      </c>
      <c r="D76" s="43"/>
      <c r="E76" s="44">
        <v>31.794560000000001</v>
      </c>
      <c r="F76" s="44">
        <v>54.4</v>
      </c>
      <c r="G76" s="45">
        <v>41.5541202445838</v>
      </c>
      <c r="H76" s="43" t="s">
        <v>240</v>
      </c>
      <c r="J76" s="36">
        <f>Table3[[#This Row],[כמות]]*Table3[[#This Row],[מחיר לקוח]]</f>
        <v>0</v>
      </c>
      <c r="K76" s="37" t="s">
        <v>245</v>
      </c>
    </row>
    <row r="77" spans="2:15" ht="15.6" customHeight="1">
      <c r="B77" s="43">
        <v>4547</v>
      </c>
      <c r="C77" s="43" t="s">
        <v>257</v>
      </c>
      <c r="D77" s="43"/>
      <c r="E77" s="44">
        <v>0.497</v>
      </c>
      <c r="F77" s="44">
        <v>0.85</v>
      </c>
      <c r="G77" s="45">
        <v>41.529412366939646</v>
      </c>
      <c r="H77" s="43" t="s">
        <v>191</v>
      </c>
      <c r="J77" s="36">
        <f>Table3[[#This Row],[כמות]]*Table3[[#This Row],[מחיר לקוח]]</f>
        <v>0</v>
      </c>
      <c r="K77" s="37" t="s">
        <v>245</v>
      </c>
    </row>
    <row r="78" spans="2:15" ht="15.6" customHeight="1">
      <c r="B78" s="43">
        <v>153</v>
      </c>
      <c r="C78" s="43" t="s">
        <v>258</v>
      </c>
      <c r="D78" s="43"/>
      <c r="E78" s="44">
        <v>3.0449999999999999</v>
      </c>
      <c r="F78" s="44">
        <v>3.8</v>
      </c>
      <c r="G78" s="45">
        <v>19.868418039377339</v>
      </c>
      <c r="H78" s="43" t="s">
        <v>191</v>
      </c>
      <c r="J78" s="36">
        <f>Table3[[#This Row],[כמות]]*Table3[[#This Row],[מחיר לקוח]]</f>
        <v>0</v>
      </c>
      <c r="K78" s="37" t="s">
        <v>245</v>
      </c>
    </row>
    <row r="79" spans="2:15" ht="15.6" customHeight="1">
      <c r="B79" s="43">
        <v>2421</v>
      </c>
      <c r="C79" s="43" t="s">
        <v>259</v>
      </c>
      <c r="D79" s="43"/>
      <c r="E79" s="44">
        <v>12.16628</v>
      </c>
      <c r="F79" s="44">
        <v>15</v>
      </c>
      <c r="G79" s="45">
        <v>18.89147440592448</v>
      </c>
      <c r="H79" s="43" t="s">
        <v>191</v>
      </c>
      <c r="J79" s="36">
        <f>Table3[[#This Row],[כמות]]*Table3[[#This Row],[מחיר לקוח]]</f>
        <v>0</v>
      </c>
      <c r="K79" s="37" t="s">
        <v>245</v>
      </c>
    </row>
    <row r="80" spans="2:15" ht="15.6" customHeight="1">
      <c r="B80" s="43">
        <v>2052</v>
      </c>
      <c r="C80" s="43" t="s">
        <v>260</v>
      </c>
      <c r="D80" s="43"/>
      <c r="E80" s="44">
        <v>3</v>
      </c>
      <c r="F80" s="44">
        <v>4.5</v>
      </c>
      <c r="G80" s="45">
        <v>33.333333333333336</v>
      </c>
      <c r="H80" s="43" t="s">
        <v>191</v>
      </c>
      <c r="J80" s="36">
        <f>Table3[[#This Row],[כמות]]*Table3[[#This Row],[מחיר לקוח]]</f>
        <v>0</v>
      </c>
      <c r="K80" s="37" t="s">
        <v>245</v>
      </c>
    </row>
    <row r="81" spans="2:11" ht="15.6" customHeight="1">
      <c r="B81" s="43">
        <v>204</v>
      </c>
      <c r="C81" s="43" t="s">
        <v>261</v>
      </c>
      <c r="D81" s="43"/>
      <c r="E81" s="44">
        <v>19.40119</v>
      </c>
      <c r="F81" s="44">
        <v>29</v>
      </c>
      <c r="G81" s="45">
        <v>33.099358657310752</v>
      </c>
      <c r="H81" s="43" t="s">
        <v>191</v>
      </c>
      <c r="J81" s="36">
        <f>Table3[[#This Row],[כמות]]*Table3[[#This Row],[מחיר לקוח]]</f>
        <v>0</v>
      </c>
      <c r="K81" s="37" t="s">
        <v>245</v>
      </c>
    </row>
    <row r="82" spans="2:11" ht="15.6" customHeight="1">
      <c r="B82" s="43">
        <v>3942</v>
      </c>
      <c r="C82" s="43" t="s">
        <v>262</v>
      </c>
      <c r="D82" s="43"/>
      <c r="E82" s="44">
        <v>1.7785409999999999</v>
      </c>
      <c r="F82" s="44">
        <v>2.6</v>
      </c>
      <c r="G82" s="45">
        <v>31.594575610328661</v>
      </c>
      <c r="H82" s="43" t="s">
        <v>191</v>
      </c>
      <c r="J82" s="36">
        <f>Table3[[#This Row],[כמות]]*Table3[[#This Row],[מחיר לקוח]]</f>
        <v>0</v>
      </c>
      <c r="K82" s="37" t="s">
        <v>245</v>
      </c>
    </row>
    <row r="83" spans="2:11" ht="15.6" customHeight="1">
      <c r="B83" s="43">
        <v>253</v>
      </c>
      <c r="C83" s="43" t="s">
        <v>263</v>
      </c>
      <c r="D83" s="43"/>
      <c r="E83" s="44">
        <v>17</v>
      </c>
      <c r="F83" s="44">
        <v>25</v>
      </c>
      <c r="G83" s="45">
        <v>32</v>
      </c>
      <c r="H83" s="43" t="s">
        <v>191</v>
      </c>
      <c r="J83" s="36">
        <f>Table3[[#This Row],[כמות]]*Table3[[#This Row],[מחיר לקוח]]</f>
        <v>0</v>
      </c>
      <c r="K83" s="37" t="s">
        <v>245</v>
      </c>
    </row>
    <row r="84" spans="2:11" ht="15.6" customHeight="1">
      <c r="B84" s="43">
        <v>258</v>
      </c>
      <c r="C84" s="43" t="s">
        <v>264</v>
      </c>
      <c r="D84" s="43"/>
      <c r="E84" s="44">
        <v>65</v>
      </c>
      <c r="F84" s="44">
        <v>31</v>
      </c>
      <c r="G84" s="45">
        <v>-109.6774193548387</v>
      </c>
      <c r="H84" s="43" t="s">
        <v>191</v>
      </c>
      <c r="J84" s="36">
        <f>Table3[[#This Row],[כמות]]*Table3[[#This Row],[מחיר לקוח]]</f>
        <v>0</v>
      </c>
      <c r="K84" s="37" t="s">
        <v>245</v>
      </c>
    </row>
    <row r="85" spans="2:11" ht="15.6" customHeight="1">
      <c r="B85" s="43">
        <v>251</v>
      </c>
      <c r="C85" s="43" t="s">
        <v>265</v>
      </c>
      <c r="D85" s="43"/>
      <c r="E85" s="44">
        <v>3.2992089999999998</v>
      </c>
      <c r="F85" s="44">
        <v>5</v>
      </c>
      <c r="G85" s="45">
        <v>34.015822410583496</v>
      </c>
      <c r="H85" s="43" t="s">
        <v>191</v>
      </c>
      <c r="J85" s="36">
        <f>Table3[[#This Row],[כמות]]*Table3[[#This Row],[מחיר לקוח]]</f>
        <v>0</v>
      </c>
      <c r="K85" s="37" t="s">
        <v>245</v>
      </c>
    </row>
    <row r="86" spans="2:11" ht="15.6" customHeight="1">
      <c r="B86" s="43">
        <v>267</v>
      </c>
      <c r="C86" s="43" t="s">
        <v>451</v>
      </c>
      <c r="D86" s="43"/>
      <c r="E86" s="44">
        <v>7.6653140000000004</v>
      </c>
      <c r="F86" s="44">
        <v>10</v>
      </c>
      <c r="G86" s="45">
        <v>23.346858024597168</v>
      </c>
      <c r="H86" s="43" t="s">
        <v>8</v>
      </c>
      <c r="J86" s="36">
        <f>Table3[[#This Row],[כמות]]*Table3[[#This Row],[מחיר לקוח]]</f>
        <v>0</v>
      </c>
      <c r="K86" s="37" t="s">
        <v>245</v>
      </c>
    </row>
    <row r="87" spans="2:11" ht="15.6" customHeight="1">
      <c r="B87" s="43">
        <v>269</v>
      </c>
      <c r="C87" s="43" t="s">
        <v>266</v>
      </c>
      <c r="D87" s="43"/>
      <c r="E87" s="44">
        <v>8.3860170000000007</v>
      </c>
      <c r="F87" s="44">
        <v>10</v>
      </c>
      <c r="G87" s="45">
        <v>16.13983154296875</v>
      </c>
      <c r="H87" s="43" t="s">
        <v>8</v>
      </c>
      <c r="J87" s="36">
        <f>Table3[[#This Row],[כמות]]*Table3[[#This Row],[מחיר לקוח]]</f>
        <v>0</v>
      </c>
      <c r="K87" s="37" t="s">
        <v>245</v>
      </c>
    </row>
    <row r="88" spans="2:11" ht="15.6" customHeight="1">
      <c r="B88" s="43">
        <v>272</v>
      </c>
      <c r="C88" s="43" t="s">
        <v>267</v>
      </c>
      <c r="D88" s="43"/>
      <c r="E88" s="44">
        <v>2.5</v>
      </c>
      <c r="F88" s="44">
        <v>3.4</v>
      </c>
      <c r="G88" s="45">
        <v>26.470590297738514</v>
      </c>
      <c r="H88" s="43" t="s">
        <v>191</v>
      </c>
      <c r="J88" s="36">
        <f>Table3[[#This Row],[כמות]]*Table3[[#This Row],[מחיר לקוח]]</f>
        <v>0</v>
      </c>
      <c r="K88" s="37" t="s">
        <v>245</v>
      </c>
    </row>
    <row r="89" spans="2:11" ht="15.6" customHeight="1">
      <c r="B89" s="43">
        <v>2050</v>
      </c>
      <c r="C89" s="43" t="s">
        <v>452</v>
      </c>
      <c r="D89" s="43"/>
      <c r="E89" s="44">
        <v>5.7819079999999996</v>
      </c>
      <c r="F89" s="44">
        <v>8.5</v>
      </c>
      <c r="G89" s="45">
        <v>31.977558135986328</v>
      </c>
      <c r="H89" s="43" t="s">
        <v>191</v>
      </c>
      <c r="J89" s="36">
        <f>Table3[[#This Row],[כמות]]*Table3[[#This Row],[מחיר לקוח]]</f>
        <v>0</v>
      </c>
      <c r="K89" s="37" t="s">
        <v>245</v>
      </c>
    </row>
    <row r="90" spans="2:11" ht="15.6" customHeight="1">
      <c r="B90" s="43">
        <v>273</v>
      </c>
      <c r="C90" s="43" t="s">
        <v>268</v>
      </c>
      <c r="D90" s="43"/>
      <c r="E90" s="44">
        <v>1.7</v>
      </c>
      <c r="F90" s="44">
        <v>4</v>
      </c>
      <c r="G90" s="45">
        <v>57.499998807907104</v>
      </c>
      <c r="H90" s="43" t="s">
        <v>24</v>
      </c>
      <c r="J90" s="36">
        <f>Table3[[#This Row],[כמות]]*Table3[[#This Row],[מחיר לקוח]]</f>
        <v>0</v>
      </c>
      <c r="K90" s="37" t="s">
        <v>245</v>
      </c>
    </row>
    <row r="91" spans="2:11" ht="15.6" customHeight="1">
      <c r="B91" s="43">
        <v>300</v>
      </c>
      <c r="C91" s="43" t="s">
        <v>269</v>
      </c>
      <c r="D91" s="43"/>
      <c r="E91" s="44">
        <v>0.93220289999999995</v>
      </c>
      <c r="F91" s="44">
        <v>1.55</v>
      </c>
      <c r="G91" s="45">
        <v>39.857873296979882</v>
      </c>
      <c r="H91" s="43" t="s">
        <v>191</v>
      </c>
      <c r="J91" s="36">
        <f>Table3[[#This Row],[כמות]]*Table3[[#This Row],[מחיר לקוח]]</f>
        <v>0</v>
      </c>
      <c r="K91" s="37" t="s">
        <v>245</v>
      </c>
    </row>
    <row r="92" spans="2:11" ht="15.6" customHeight="1">
      <c r="B92" s="43">
        <v>5491</v>
      </c>
      <c r="C92" s="43" t="s">
        <v>270</v>
      </c>
      <c r="D92" s="43"/>
      <c r="E92" s="44">
        <v>22.5</v>
      </c>
      <c r="F92" s="44">
        <v>25.6</v>
      </c>
      <c r="G92" s="45">
        <v>12.109376309672351</v>
      </c>
      <c r="H92" s="43" t="s">
        <v>240</v>
      </c>
      <c r="J92" s="36">
        <f>Table3[[#This Row],[כמות]]*Table3[[#This Row],[מחיר לקוח]]</f>
        <v>0</v>
      </c>
      <c r="K92" s="37" t="s">
        <v>245</v>
      </c>
    </row>
    <row r="93" spans="2:11" ht="15.6" customHeight="1">
      <c r="B93" s="43">
        <v>1908</v>
      </c>
      <c r="C93" s="43" t="s">
        <v>271</v>
      </c>
      <c r="D93" s="43"/>
      <c r="E93" s="44">
        <v>5.9</v>
      </c>
      <c r="F93" s="44">
        <v>8.9</v>
      </c>
      <c r="G93" s="45">
        <v>33.707861255596946</v>
      </c>
      <c r="H93" s="43" t="s">
        <v>191</v>
      </c>
      <c r="J93" s="36">
        <f>Table3[[#This Row],[כמות]]*Table3[[#This Row],[מחיר לקוח]]</f>
        <v>0</v>
      </c>
      <c r="K93" s="37" t="s">
        <v>245</v>
      </c>
    </row>
    <row r="94" spans="2:11" ht="15.6" customHeight="1">
      <c r="B94" s="43">
        <v>314</v>
      </c>
      <c r="C94" s="43" t="s">
        <v>272</v>
      </c>
      <c r="D94" s="43"/>
      <c r="E94" s="44">
        <v>3.4</v>
      </c>
      <c r="F94" s="44">
        <v>5.8</v>
      </c>
      <c r="G94" s="45">
        <v>41.37931473898675</v>
      </c>
      <c r="H94" s="43" t="s">
        <v>191</v>
      </c>
      <c r="J94" s="36">
        <f>Table3[[#This Row],[כמות]]*Table3[[#This Row],[מחיר לקוח]]</f>
        <v>0</v>
      </c>
      <c r="K94" s="37" t="s">
        <v>245</v>
      </c>
    </row>
    <row r="95" spans="2:11" ht="15.6" customHeight="1">
      <c r="B95" s="43">
        <v>4163</v>
      </c>
      <c r="C95" s="43" t="s">
        <v>273</v>
      </c>
      <c r="D95" s="43"/>
      <c r="E95" s="44">
        <v>17.499980000000001</v>
      </c>
      <c r="F95" s="44">
        <v>26</v>
      </c>
      <c r="G95" s="45">
        <v>32.692395723783051</v>
      </c>
      <c r="H95" s="43" t="s">
        <v>191</v>
      </c>
      <c r="J95" s="36">
        <f>Table3[[#This Row],[כמות]]*Table3[[#This Row],[מחיר לקוח]]</f>
        <v>0</v>
      </c>
      <c r="K95" s="37" t="s">
        <v>245</v>
      </c>
    </row>
    <row r="96" spans="2:11" ht="15.6" customHeight="1">
      <c r="B96" s="43">
        <v>3480</v>
      </c>
      <c r="C96" s="43" t="s">
        <v>274</v>
      </c>
      <c r="D96" s="43"/>
      <c r="E96" s="44">
        <v>13</v>
      </c>
      <c r="F96" s="44">
        <v>18.600000000000001</v>
      </c>
      <c r="G96" s="45">
        <v>30.107528315153875</v>
      </c>
      <c r="H96" s="43" t="s">
        <v>191</v>
      </c>
      <c r="J96" s="36">
        <f>Table3[[#This Row],[כמות]]*Table3[[#This Row],[מחיר לקוח]]</f>
        <v>0</v>
      </c>
      <c r="K96" s="37" t="s">
        <v>245</v>
      </c>
    </row>
    <row r="97" spans="2:11" ht="15.6" customHeight="1">
      <c r="B97" s="43">
        <v>1541</v>
      </c>
      <c r="C97" s="43" t="s">
        <v>275</v>
      </c>
      <c r="D97" s="43"/>
      <c r="E97" s="44">
        <v>2.35</v>
      </c>
      <c r="F97" s="44">
        <v>3.8</v>
      </c>
      <c r="G97" s="45">
        <v>38.157896470495231</v>
      </c>
      <c r="H97" s="43" t="s">
        <v>191</v>
      </c>
      <c r="J97" s="36">
        <f>Table3[[#This Row],[כמות]]*Table3[[#This Row],[מחיר לקוח]]</f>
        <v>0</v>
      </c>
      <c r="K97" s="37" t="s">
        <v>245</v>
      </c>
    </row>
    <row r="98" spans="2:11" ht="15.6" customHeight="1">
      <c r="B98" s="43">
        <v>326</v>
      </c>
      <c r="C98" s="43" t="s">
        <v>276</v>
      </c>
      <c r="D98" s="43"/>
      <c r="E98" s="44">
        <v>11.8</v>
      </c>
      <c r="F98" s="44">
        <v>19</v>
      </c>
      <c r="G98" s="45">
        <v>37.894735838237558</v>
      </c>
      <c r="H98" s="43" t="s">
        <v>191</v>
      </c>
      <c r="J98" s="36">
        <f>Table3[[#This Row],[כמות]]*Table3[[#This Row],[מחיר לקוח]]</f>
        <v>0</v>
      </c>
      <c r="K98" s="37" t="s">
        <v>245</v>
      </c>
    </row>
    <row r="99" spans="2:11" ht="15.6" customHeight="1">
      <c r="B99" s="43">
        <v>328</v>
      </c>
      <c r="C99" s="43" t="s">
        <v>277</v>
      </c>
      <c r="D99" s="43"/>
      <c r="E99" s="44">
        <v>5.4</v>
      </c>
      <c r="F99" s="44">
        <v>11</v>
      </c>
      <c r="G99" s="45">
        <v>50.909090042114258</v>
      </c>
      <c r="H99" s="43" t="s">
        <v>191</v>
      </c>
      <c r="I99" s="50">
        <v>8</v>
      </c>
      <c r="J99" s="36">
        <f>Table3[[#This Row],[כמות]]*Table3[[#This Row],[מחיר לקוח]]</f>
        <v>88</v>
      </c>
      <c r="K99" s="37" t="s">
        <v>245</v>
      </c>
    </row>
    <row r="100" spans="2:11" ht="15.6" customHeight="1">
      <c r="B100" s="43">
        <v>3357</v>
      </c>
      <c r="C100" s="43" t="s">
        <v>453</v>
      </c>
      <c r="D100" s="43"/>
      <c r="E100" s="44">
        <v>7.1</v>
      </c>
      <c r="F100" s="44">
        <v>10.9</v>
      </c>
      <c r="G100" s="45">
        <v>34.862379541742854</v>
      </c>
      <c r="H100" s="43" t="s">
        <v>191</v>
      </c>
      <c r="J100" s="36">
        <f>Table3[[#This Row],[כמות]]*Table3[[#This Row],[מחיר לקוח]]</f>
        <v>0</v>
      </c>
      <c r="K100" s="37" t="s">
        <v>245</v>
      </c>
    </row>
    <row r="101" spans="2:11" ht="15.6" customHeight="1">
      <c r="B101" s="43">
        <v>360</v>
      </c>
      <c r="C101" s="43" t="s">
        <v>278</v>
      </c>
      <c r="D101" s="43"/>
      <c r="E101" s="44">
        <v>11.068059999999999</v>
      </c>
      <c r="F101" s="44">
        <v>15</v>
      </c>
      <c r="G101" s="45">
        <v>26.212927500406902</v>
      </c>
      <c r="H101" s="43" t="s">
        <v>8</v>
      </c>
      <c r="J101" s="36">
        <f>Table3[[#This Row],[כמות]]*Table3[[#This Row],[מחיר לקוח]]</f>
        <v>0</v>
      </c>
      <c r="K101" s="37" t="s">
        <v>245</v>
      </c>
    </row>
    <row r="102" spans="2:11" ht="15.6" customHeight="1">
      <c r="B102" s="43">
        <v>367</v>
      </c>
      <c r="C102" s="43" t="s">
        <v>279</v>
      </c>
      <c r="D102" s="43"/>
      <c r="E102" s="44">
        <v>15.956289999999999</v>
      </c>
      <c r="F102" s="44">
        <v>19</v>
      </c>
      <c r="G102" s="45">
        <v>16.019535064697266</v>
      </c>
      <c r="H102" s="43" t="s">
        <v>191</v>
      </c>
      <c r="J102" s="36">
        <f>Table3[[#This Row],[כמות]]*Table3[[#This Row],[מחיר לקוח]]</f>
        <v>0</v>
      </c>
      <c r="K102" s="37" t="s">
        <v>245</v>
      </c>
    </row>
    <row r="103" spans="2:11" ht="15.6" customHeight="1">
      <c r="B103" s="43">
        <v>398</v>
      </c>
      <c r="C103" s="43" t="s">
        <v>280</v>
      </c>
      <c r="D103" s="43"/>
      <c r="E103" s="44">
        <v>2.4</v>
      </c>
      <c r="F103" s="44">
        <v>3.5</v>
      </c>
      <c r="G103" s="45">
        <v>31.428568703787668</v>
      </c>
      <c r="H103" s="43" t="s">
        <v>24</v>
      </c>
      <c r="J103" s="36">
        <f>Table3[[#This Row],[כמות]]*Table3[[#This Row],[מחיר לקוח]]</f>
        <v>0</v>
      </c>
      <c r="K103" s="37" t="s">
        <v>245</v>
      </c>
    </row>
    <row r="104" spans="2:11" ht="15.6" customHeight="1">
      <c r="B104" s="43">
        <v>399</v>
      </c>
      <c r="C104" s="43" t="s">
        <v>281</v>
      </c>
      <c r="D104" s="43"/>
      <c r="E104" s="44">
        <v>3.4</v>
      </c>
      <c r="F104" s="44">
        <v>4.5</v>
      </c>
      <c r="G104" s="45">
        <v>24.444442325168186</v>
      </c>
      <c r="H104" s="43" t="s">
        <v>191</v>
      </c>
      <c r="J104" s="36">
        <f>Table3[[#This Row],[כמות]]*Table3[[#This Row],[מחיר לקוח]]</f>
        <v>0</v>
      </c>
      <c r="K104" s="37" t="s">
        <v>245</v>
      </c>
    </row>
    <row r="105" spans="2:11" ht="15.6" customHeight="1">
      <c r="B105" s="43">
        <v>413</v>
      </c>
      <c r="C105" s="43" t="s">
        <v>282</v>
      </c>
      <c r="D105" s="43"/>
      <c r="E105" s="44">
        <v>14.21097</v>
      </c>
      <c r="F105" s="44">
        <v>18</v>
      </c>
      <c r="G105" s="45">
        <v>21.050167083740234</v>
      </c>
      <c r="H105" s="43" t="s">
        <v>191</v>
      </c>
      <c r="J105" s="36">
        <f>Table3[[#This Row],[כמות]]*Table3[[#This Row],[מחיר לקוח]]</f>
        <v>0</v>
      </c>
      <c r="K105" s="37" t="s">
        <v>245</v>
      </c>
    </row>
    <row r="106" spans="2:11" ht="15.6" customHeight="1">
      <c r="B106" s="43">
        <v>4607</v>
      </c>
      <c r="C106" s="43" t="s">
        <v>283</v>
      </c>
      <c r="D106" s="43"/>
      <c r="E106" s="44">
        <v>15.7768</v>
      </c>
      <c r="F106" s="44">
        <v>18.5</v>
      </c>
      <c r="G106" s="45">
        <v>14.720009468697214</v>
      </c>
      <c r="H106" s="43" t="s">
        <v>191</v>
      </c>
      <c r="J106" s="36">
        <f>Table3[[#This Row],[כמות]]*Table3[[#This Row],[מחיר לקוח]]</f>
        <v>0</v>
      </c>
      <c r="K106" s="37" t="s">
        <v>245</v>
      </c>
    </row>
    <row r="107" spans="2:11" ht="15.6" customHeight="1">
      <c r="B107" s="43">
        <v>431</v>
      </c>
      <c r="C107" s="43" t="s">
        <v>284</v>
      </c>
      <c r="D107" s="43"/>
      <c r="E107" s="44">
        <v>1.2567170000000001</v>
      </c>
      <c r="F107" s="44">
        <v>1.5</v>
      </c>
      <c r="G107" s="45">
        <v>16.218845049540203</v>
      </c>
      <c r="H107" s="43" t="s">
        <v>191</v>
      </c>
      <c r="J107" s="36">
        <f>Table3[[#This Row],[כמות]]*Table3[[#This Row],[מחיר לקוח]]</f>
        <v>0</v>
      </c>
      <c r="K107" s="37" t="s">
        <v>245</v>
      </c>
    </row>
    <row r="108" spans="2:11" ht="15.6" customHeight="1">
      <c r="B108" s="43">
        <v>430</v>
      </c>
      <c r="C108" s="43" t="s">
        <v>285</v>
      </c>
      <c r="D108" s="43"/>
      <c r="E108" s="44">
        <v>0.66442420000000002</v>
      </c>
      <c r="F108" s="44">
        <v>1.3</v>
      </c>
      <c r="G108" s="45">
        <v>48.890441156917028</v>
      </c>
      <c r="H108" s="43" t="s">
        <v>191</v>
      </c>
      <c r="J108" s="36">
        <f>Table3[[#This Row],[כמות]]*Table3[[#This Row],[מחיר לקוח]]</f>
        <v>0</v>
      </c>
      <c r="K108" s="37" t="s">
        <v>245</v>
      </c>
    </row>
    <row r="109" spans="2:11" ht="15.6" customHeight="1">
      <c r="B109" s="43">
        <v>336</v>
      </c>
      <c r="C109" s="43" t="s">
        <v>286</v>
      </c>
      <c r="D109" s="43"/>
      <c r="E109" s="44">
        <v>7</v>
      </c>
      <c r="F109" s="44">
        <v>9.9499999999999993</v>
      </c>
      <c r="G109" s="45">
        <v>29.648239857433833</v>
      </c>
      <c r="H109" s="43" t="s">
        <v>191</v>
      </c>
      <c r="J109" s="36">
        <f>Table3[[#This Row],[כמות]]*Table3[[#This Row],[מחיר לקוח]]</f>
        <v>0</v>
      </c>
      <c r="K109" s="37" t="s">
        <v>245</v>
      </c>
    </row>
    <row r="110" spans="2:11" ht="15.6" customHeight="1">
      <c r="B110" s="43">
        <v>340</v>
      </c>
      <c r="C110" s="43" t="s">
        <v>287</v>
      </c>
      <c r="D110" s="43"/>
      <c r="E110" s="44">
        <v>9.0691930000000003</v>
      </c>
      <c r="F110" s="44">
        <v>16.5</v>
      </c>
      <c r="G110" s="45">
        <v>45.03519462816643</v>
      </c>
      <c r="H110" s="43" t="s">
        <v>191</v>
      </c>
      <c r="J110" s="36">
        <f>Table3[[#This Row],[כמות]]*Table3[[#This Row],[מחיר לקוח]]</f>
        <v>0</v>
      </c>
      <c r="K110" s="37" t="s">
        <v>245</v>
      </c>
    </row>
    <row r="111" spans="2:11" ht="15.6" customHeight="1">
      <c r="B111" s="43">
        <v>438</v>
      </c>
      <c r="C111" s="43" t="s">
        <v>288</v>
      </c>
      <c r="D111" s="43"/>
      <c r="E111" s="44">
        <v>0.9</v>
      </c>
      <c r="F111" s="44">
        <v>1.3</v>
      </c>
      <c r="G111" s="45">
        <v>30.769230063850333</v>
      </c>
      <c r="H111" s="43" t="s">
        <v>8</v>
      </c>
      <c r="J111" s="36">
        <f>Table3[[#This Row],[כמות]]*Table3[[#This Row],[מחיר לקוח]]</f>
        <v>0</v>
      </c>
      <c r="K111" s="37" t="s">
        <v>245</v>
      </c>
    </row>
    <row r="112" spans="2:11" ht="15.6" customHeight="1">
      <c r="B112" s="43">
        <v>1142</v>
      </c>
      <c r="C112" s="43" t="s">
        <v>454</v>
      </c>
      <c r="D112" s="43"/>
      <c r="E112" s="44">
        <v>7</v>
      </c>
      <c r="F112" s="44">
        <v>9.9</v>
      </c>
      <c r="G112" s="45">
        <v>29.292926568423436</v>
      </c>
      <c r="H112" s="43" t="s">
        <v>240</v>
      </c>
      <c r="J112" s="36">
        <f>Table3[[#This Row],[כמות]]*Table3[[#This Row],[מחיר לקוח]]</f>
        <v>0</v>
      </c>
      <c r="K112" s="37" t="s">
        <v>245</v>
      </c>
    </row>
    <row r="113" spans="2:11" ht="15.6" customHeight="1">
      <c r="B113" s="43">
        <v>440</v>
      </c>
      <c r="C113" s="43" t="s">
        <v>289</v>
      </c>
      <c r="D113" s="43"/>
      <c r="E113" s="44">
        <v>0.9</v>
      </c>
      <c r="F113" s="44">
        <v>1.35</v>
      </c>
      <c r="G113" s="45">
        <v>33.333336276772528</v>
      </c>
      <c r="H113" s="43" t="s">
        <v>8</v>
      </c>
      <c r="J113" s="36">
        <f>Table3[[#This Row],[כמות]]*Table3[[#This Row],[מחיר לקוח]]</f>
        <v>0</v>
      </c>
      <c r="K113" s="37" t="s">
        <v>245</v>
      </c>
    </row>
    <row r="114" spans="2:11" ht="15.6" customHeight="1">
      <c r="B114" s="43">
        <v>449</v>
      </c>
      <c r="C114" s="43" t="s">
        <v>290</v>
      </c>
      <c r="D114" s="43"/>
      <c r="E114" s="44">
        <v>10.253539999999999</v>
      </c>
      <c r="F114" s="44">
        <v>13.5</v>
      </c>
      <c r="G114" s="45">
        <v>24.047823305483217</v>
      </c>
      <c r="H114" s="43" t="s">
        <v>191</v>
      </c>
      <c r="J114" s="36">
        <f>Table3[[#This Row],[כמות]]*Table3[[#This Row],[מחיר לקוח]]</f>
        <v>0</v>
      </c>
      <c r="K114" s="37" t="s">
        <v>245</v>
      </c>
    </row>
    <row r="115" spans="2:11" ht="15.6" customHeight="1">
      <c r="B115" s="43">
        <v>448</v>
      </c>
      <c r="C115" s="43" t="s">
        <v>291</v>
      </c>
      <c r="D115" s="43"/>
      <c r="E115" s="44">
        <v>2.5945040000000001</v>
      </c>
      <c r="F115" s="44">
        <v>3.7</v>
      </c>
      <c r="G115" s="45">
        <v>29.878280873191926</v>
      </c>
      <c r="H115" s="43" t="s">
        <v>191</v>
      </c>
      <c r="J115" s="36">
        <f>Table3[[#This Row],[כמות]]*Table3[[#This Row],[מחיר לקוח]]</f>
        <v>0</v>
      </c>
      <c r="K115" s="37" t="s">
        <v>245</v>
      </c>
    </row>
    <row r="116" spans="2:11" ht="15.6" customHeight="1">
      <c r="B116" s="43">
        <v>456</v>
      </c>
      <c r="C116" s="43" t="s">
        <v>292</v>
      </c>
      <c r="D116" s="43"/>
      <c r="E116" s="44">
        <v>3.387626</v>
      </c>
      <c r="F116" s="44">
        <v>3.7</v>
      </c>
      <c r="G116" s="45">
        <v>8.4425370958362134</v>
      </c>
      <c r="H116" s="43" t="s">
        <v>191</v>
      </c>
      <c r="J116" s="36">
        <f>Table3[[#This Row],[כמות]]*Table3[[#This Row],[מחיר לקוח]]</f>
        <v>0</v>
      </c>
      <c r="K116" s="37" t="s">
        <v>245</v>
      </c>
    </row>
    <row r="117" spans="2:11" ht="15.6" customHeight="1">
      <c r="B117" s="43">
        <v>2648</v>
      </c>
      <c r="C117" s="43" t="s">
        <v>293</v>
      </c>
      <c r="D117" s="43"/>
      <c r="E117" s="44">
        <v>8.3000000000000007</v>
      </c>
      <c r="F117" s="44">
        <v>9.5</v>
      </c>
      <c r="G117" s="45">
        <v>12.631576939633018</v>
      </c>
      <c r="H117" s="43" t="s">
        <v>191</v>
      </c>
      <c r="J117" s="36">
        <f>Table3[[#This Row],[כמות]]*Table3[[#This Row],[מחיר לקוח]]</f>
        <v>0</v>
      </c>
      <c r="K117" s="37" t="s">
        <v>245</v>
      </c>
    </row>
    <row r="118" spans="2:11" ht="15.6" customHeight="1">
      <c r="B118" s="43">
        <v>455</v>
      </c>
      <c r="C118" s="43" t="s">
        <v>455</v>
      </c>
      <c r="D118" s="43"/>
      <c r="E118" s="44">
        <v>42.852580000000003</v>
      </c>
      <c r="F118" s="44">
        <v>66</v>
      </c>
      <c r="G118" s="45">
        <v>35.071852712920219</v>
      </c>
      <c r="H118" s="43" t="s">
        <v>240</v>
      </c>
      <c r="J118" s="36">
        <f>Table3[[#This Row],[כמות]]*Table3[[#This Row],[מחיר לקוח]]</f>
        <v>0</v>
      </c>
      <c r="K118" s="37" t="s">
        <v>245</v>
      </c>
    </row>
    <row r="119" spans="2:11" ht="15.6" customHeight="1">
      <c r="B119" s="43">
        <v>2647</v>
      </c>
      <c r="C119" s="43" t="s">
        <v>294</v>
      </c>
      <c r="D119" s="43"/>
      <c r="E119" s="44">
        <v>6.6</v>
      </c>
      <c r="F119" s="44">
        <v>8.4499999999999993</v>
      </c>
      <c r="G119" s="45">
        <v>21.893490489835354</v>
      </c>
      <c r="H119" s="43" t="s">
        <v>191</v>
      </c>
      <c r="J119" s="36">
        <f>Table3[[#This Row],[כמות]]*Table3[[#This Row],[מחיר לקוח]]</f>
        <v>0</v>
      </c>
      <c r="K119" s="37" t="s">
        <v>245</v>
      </c>
    </row>
    <row r="120" spans="2:11" ht="15.6" customHeight="1">
      <c r="B120" s="43">
        <v>4181</v>
      </c>
      <c r="C120" s="43" t="s">
        <v>456</v>
      </c>
      <c r="D120" s="43"/>
      <c r="E120" s="44">
        <v>18.751999999999999</v>
      </c>
      <c r="F120" s="44">
        <v>22.5</v>
      </c>
      <c r="G120" s="45">
        <v>16.657765706380207</v>
      </c>
      <c r="H120" s="43" t="s">
        <v>191</v>
      </c>
      <c r="J120" s="36">
        <f>Table3[[#This Row],[כמות]]*Table3[[#This Row],[מחיר לקוח]]</f>
        <v>0</v>
      </c>
      <c r="K120" s="37" t="s">
        <v>245</v>
      </c>
    </row>
    <row r="121" spans="2:11" ht="15.6" customHeight="1">
      <c r="B121" s="43">
        <v>5667</v>
      </c>
      <c r="C121" s="43" t="s">
        <v>295</v>
      </c>
      <c r="D121" s="43"/>
      <c r="E121" s="44">
        <v>3.31</v>
      </c>
      <c r="F121" s="44">
        <v>3.95</v>
      </c>
      <c r="G121" s="45">
        <v>16.202534105777328</v>
      </c>
      <c r="H121" s="43" t="s">
        <v>231</v>
      </c>
      <c r="J121" s="36">
        <f>Table3[[#This Row],[כמות]]*Table3[[#This Row],[מחיר לקוח]]</f>
        <v>0</v>
      </c>
      <c r="K121" s="37" t="s">
        <v>245</v>
      </c>
    </row>
    <row r="122" spans="2:11" ht="15.6" customHeight="1">
      <c r="B122" s="43">
        <v>478</v>
      </c>
      <c r="C122" s="43" t="s">
        <v>296</v>
      </c>
      <c r="D122" s="43"/>
      <c r="E122" s="44">
        <v>5.6</v>
      </c>
      <c r="F122" s="44">
        <v>6.3</v>
      </c>
      <c r="G122" s="45">
        <v>11.111115316024195</v>
      </c>
      <c r="H122" s="43" t="s">
        <v>191</v>
      </c>
      <c r="J122" s="36">
        <f>Table3[[#This Row],[כמות]]*Table3[[#This Row],[מחיר לקוח]]</f>
        <v>0</v>
      </c>
      <c r="K122" s="37" t="s">
        <v>245</v>
      </c>
    </row>
    <row r="123" spans="2:11" ht="15.6" customHeight="1">
      <c r="B123" s="43">
        <v>487</v>
      </c>
      <c r="C123" s="43" t="s">
        <v>297</v>
      </c>
      <c r="D123" s="43"/>
      <c r="E123" s="44">
        <v>1.56</v>
      </c>
      <c r="F123" s="44">
        <v>4.95</v>
      </c>
      <c r="G123" s="45">
        <v>68.484848426466215</v>
      </c>
      <c r="H123" s="43" t="s">
        <v>191</v>
      </c>
      <c r="J123" s="36">
        <f>Table3[[#This Row],[כמות]]*Table3[[#This Row],[מחיר לקוח]]</f>
        <v>0</v>
      </c>
      <c r="K123" s="37" t="s">
        <v>245</v>
      </c>
    </row>
    <row r="124" spans="2:11" ht="15.6" customHeight="1">
      <c r="B124" s="43">
        <v>517</v>
      </c>
      <c r="C124" s="43" t="s">
        <v>298</v>
      </c>
      <c r="D124" s="43"/>
      <c r="E124" s="44">
        <v>2.31</v>
      </c>
      <c r="F124" s="44">
        <v>3</v>
      </c>
      <c r="G124" s="45">
        <v>23.000001907348633</v>
      </c>
      <c r="H124" s="43" t="s">
        <v>8</v>
      </c>
      <c r="J124" s="36">
        <f>Table3[[#This Row],[כמות]]*Table3[[#This Row],[מחיר לקוח]]</f>
        <v>0</v>
      </c>
      <c r="K124" s="37" t="s">
        <v>245</v>
      </c>
    </row>
    <row r="125" spans="2:11" ht="15.6" customHeight="1">
      <c r="B125" s="43">
        <v>4449</v>
      </c>
      <c r="C125" s="43" t="s">
        <v>299</v>
      </c>
      <c r="D125" s="43"/>
      <c r="E125" s="44">
        <v>11.4665</v>
      </c>
      <c r="F125" s="44">
        <v>15.29</v>
      </c>
      <c r="G125" s="45">
        <v>25.006538189042949</v>
      </c>
      <c r="H125" s="43" t="s">
        <v>191</v>
      </c>
      <c r="J125" s="36">
        <f>Table3[[#This Row],[כמות]]*Table3[[#This Row],[מחיר לקוח]]</f>
        <v>0</v>
      </c>
      <c r="K125" s="37" t="s">
        <v>245</v>
      </c>
    </row>
    <row r="126" spans="2:11" ht="15.6" customHeight="1">
      <c r="B126" s="43">
        <v>531</v>
      </c>
      <c r="C126" s="43" t="s">
        <v>300</v>
      </c>
      <c r="D126" s="43"/>
      <c r="E126" s="44">
        <v>1.544076</v>
      </c>
      <c r="F126" s="44">
        <v>2.6</v>
      </c>
      <c r="G126" s="45">
        <v>40.612446917476909</v>
      </c>
      <c r="H126" s="43" t="s">
        <v>8</v>
      </c>
      <c r="J126" s="36">
        <f>Table3[[#This Row],[כמות]]*Table3[[#This Row],[מחיר לקוח]]</f>
        <v>0</v>
      </c>
      <c r="K126" s="37" t="s">
        <v>245</v>
      </c>
    </row>
    <row r="127" spans="2:11" ht="15.6" customHeight="1">
      <c r="B127" s="43">
        <v>4378</v>
      </c>
      <c r="C127" s="43" t="s">
        <v>457</v>
      </c>
      <c r="D127" s="43"/>
      <c r="E127" s="44">
        <v>6.5</v>
      </c>
      <c r="F127" s="44">
        <v>8.9</v>
      </c>
      <c r="G127" s="45">
        <v>26.966289004477556</v>
      </c>
      <c r="H127" s="43" t="s">
        <v>191</v>
      </c>
      <c r="J127" s="36">
        <f>Table3[[#This Row],[כמות]]*Table3[[#This Row],[מחיר לקוח]]</f>
        <v>0</v>
      </c>
      <c r="K127" s="37" t="s">
        <v>245</v>
      </c>
    </row>
    <row r="128" spans="2:11" ht="15.6" customHeight="1">
      <c r="B128" s="43">
        <v>546</v>
      </c>
      <c r="C128" s="43" t="s">
        <v>301</v>
      </c>
      <c r="D128" s="43"/>
      <c r="E128" s="44">
        <v>3.7</v>
      </c>
      <c r="F128" s="44">
        <v>5.5</v>
      </c>
      <c r="G128" s="45">
        <v>32.727271860296078</v>
      </c>
      <c r="H128" s="43" t="s">
        <v>191</v>
      </c>
      <c r="J128" s="36">
        <f>Table3[[#This Row],[כמות]]*Table3[[#This Row],[מחיר לקוח]]</f>
        <v>0</v>
      </c>
      <c r="K128" s="37" t="s">
        <v>245</v>
      </c>
    </row>
    <row r="129" spans="2:11" ht="15.6" customHeight="1">
      <c r="B129" s="43">
        <v>609</v>
      </c>
      <c r="C129" s="43" t="s">
        <v>302</v>
      </c>
      <c r="D129" s="43"/>
      <c r="E129" s="44">
        <v>9.9470159999999996</v>
      </c>
      <c r="F129" s="44">
        <v>13</v>
      </c>
      <c r="G129" s="45">
        <v>23.484494135929989</v>
      </c>
      <c r="H129" s="43" t="s">
        <v>191</v>
      </c>
      <c r="J129" s="36">
        <f>Table3[[#This Row],[כמות]]*Table3[[#This Row],[מחיר לקוח]]</f>
        <v>0</v>
      </c>
      <c r="K129" s="37" t="s">
        <v>245</v>
      </c>
    </row>
    <row r="130" spans="2:11" ht="15.6" customHeight="1">
      <c r="B130" s="43">
        <v>2054</v>
      </c>
      <c r="C130" s="43" t="s">
        <v>303</v>
      </c>
      <c r="D130" s="43"/>
      <c r="E130" s="44">
        <v>5.6480230000000002</v>
      </c>
      <c r="F130" s="44">
        <v>8.8000000000000007</v>
      </c>
      <c r="G130" s="45">
        <v>35.817925803923046</v>
      </c>
      <c r="H130" s="43" t="s">
        <v>191</v>
      </c>
      <c r="J130" s="36">
        <f>Table3[[#This Row],[כמות]]*Table3[[#This Row],[מחיר לקוח]]</f>
        <v>0</v>
      </c>
      <c r="K130" s="37" t="s">
        <v>245</v>
      </c>
    </row>
    <row r="131" spans="2:11" ht="15.6" customHeight="1">
      <c r="B131" s="43">
        <v>2053</v>
      </c>
      <c r="C131" s="43" t="s">
        <v>304</v>
      </c>
      <c r="D131" s="43"/>
      <c r="E131" s="44">
        <v>6.2658529999999999</v>
      </c>
      <c r="F131" s="44">
        <v>8.9</v>
      </c>
      <c r="G131" s="45">
        <v>29.597155092953248</v>
      </c>
      <c r="H131" s="43" t="s">
        <v>191</v>
      </c>
      <c r="J131" s="36">
        <f>Table3[[#This Row],[כמות]]*Table3[[#This Row],[מחיר לקוח]]</f>
        <v>0</v>
      </c>
      <c r="K131" s="37" t="s">
        <v>245</v>
      </c>
    </row>
    <row r="132" spans="2:11" ht="15.6" customHeight="1">
      <c r="B132" s="43">
        <v>5452</v>
      </c>
      <c r="C132" s="43" t="s">
        <v>305</v>
      </c>
      <c r="D132" s="43"/>
      <c r="E132" s="44">
        <v>23.52</v>
      </c>
      <c r="F132" s="44">
        <v>30</v>
      </c>
      <c r="G132" s="45">
        <v>21.599998474121094</v>
      </c>
      <c r="H132" s="43" t="s">
        <v>240</v>
      </c>
      <c r="J132" s="36">
        <f>Table3[[#This Row],[כמות]]*Table3[[#This Row],[מחיר לקוח]]</f>
        <v>0</v>
      </c>
      <c r="K132" s="37" t="s">
        <v>245</v>
      </c>
    </row>
    <row r="133" spans="2:11" ht="15.6" customHeight="1">
      <c r="B133" s="43">
        <v>5245</v>
      </c>
      <c r="C133" s="43" t="s">
        <v>306</v>
      </c>
      <c r="D133" s="43"/>
      <c r="E133" s="44">
        <v>23.52</v>
      </c>
      <c r="F133" s="44">
        <v>30</v>
      </c>
      <c r="G133" s="45">
        <v>21.599998474121094</v>
      </c>
      <c r="H133" s="43" t="s">
        <v>240</v>
      </c>
      <c r="J133" s="36">
        <f>Table3[[#This Row],[כמות]]*Table3[[#This Row],[מחיר לקוח]]</f>
        <v>0</v>
      </c>
      <c r="K133" s="37" t="s">
        <v>245</v>
      </c>
    </row>
    <row r="134" spans="2:11" ht="15.6" customHeight="1">
      <c r="B134" s="43">
        <v>5453</v>
      </c>
      <c r="C134" s="43" t="s">
        <v>307</v>
      </c>
      <c r="D134" s="43"/>
      <c r="E134" s="44">
        <v>24</v>
      </c>
      <c r="F134" s="44">
        <v>30</v>
      </c>
      <c r="G134" s="45">
        <v>20</v>
      </c>
      <c r="H134" s="43" t="s">
        <v>240</v>
      </c>
      <c r="J134" s="36">
        <f>Table3[[#This Row],[כמות]]*Table3[[#This Row],[מחיר לקוח]]</f>
        <v>0</v>
      </c>
      <c r="K134" s="37" t="s">
        <v>245</v>
      </c>
    </row>
    <row r="135" spans="2:11" ht="15.6" customHeight="1">
      <c r="B135" s="43">
        <v>5451</v>
      </c>
      <c r="C135" s="43" t="s">
        <v>308</v>
      </c>
      <c r="D135" s="43"/>
      <c r="E135" s="44">
        <v>23.67304</v>
      </c>
      <c r="F135" s="44">
        <v>30</v>
      </c>
      <c r="G135" s="45">
        <v>21.089859008789063</v>
      </c>
      <c r="H135" s="43" t="s">
        <v>240</v>
      </c>
      <c r="J135" s="36">
        <f>Table3[[#This Row],[כמות]]*Table3[[#This Row],[מחיר לקוח]]</f>
        <v>0</v>
      </c>
      <c r="K135" s="37" t="s">
        <v>245</v>
      </c>
    </row>
    <row r="136" spans="2:11" ht="15.6" customHeight="1">
      <c r="B136" s="43">
        <v>629</v>
      </c>
      <c r="C136" s="43" t="s">
        <v>309</v>
      </c>
      <c r="D136" s="43"/>
      <c r="E136" s="44">
        <v>2.9884559999999998</v>
      </c>
      <c r="F136" s="44">
        <v>5</v>
      </c>
      <c r="G136" s="45">
        <v>40.230875015258789</v>
      </c>
      <c r="H136" s="43" t="s">
        <v>191</v>
      </c>
      <c r="J136" s="36">
        <f>Table3[[#This Row],[כמות]]*Table3[[#This Row],[מחיר לקוח]]</f>
        <v>0</v>
      </c>
      <c r="K136" s="37" t="s">
        <v>245</v>
      </c>
    </row>
    <row r="137" spans="2:11" ht="15.6" customHeight="1">
      <c r="B137" s="43">
        <v>3880</v>
      </c>
      <c r="C137" s="43" t="s">
        <v>310</v>
      </c>
      <c r="D137" s="43"/>
      <c r="E137" s="44">
        <v>6.5</v>
      </c>
      <c r="F137" s="44">
        <v>8</v>
      </c>
      <c r="G137" s="45">
        <v>18.75</v>
      </c>
      <c r="H137" s="43" t="s">
        <v>191</v>
      </c>
      <c r="J137" s="36">
        <f>Table3[[#This Row],[כמות]]*Table3[[#This Row],[מחיר לקוח]]</f>
        <v>0</v>
      </c>
      <c r="K137" s="37" t="s">
        <v>245</v>
      </c>
    </row>
    <row r="138" spans="2:11" ht="15.6" customHeight="1">
      <c r="B138" s="43">
        <v>5416</v>
      </c>
      <c r="C138" s="43" t="s">
        <v>458</v>
      </c>
      <c r="D138" s="43"/>
      <c r="E138" s="44">
        <v>0</v>
      </c>
      <c r="F138" s="44">
        <v>65</v>
      </c>
      <c r="G138" s="45">
        <v>100</v>
      </c>
      <c r="H138" s="43" t="s">
        <v>240</v>
      </c>
      <c r="J138" s="36">
        <f>Table3[[#This Row],[כמות]]*Table3[[#This Row],[מחיר לקוח]]</f>
        <v>0</v>
      </c>
      <c r="K138" s="37" t="s">
        <v>245</v>
      </c>
    </row>
    <row r="139" spans="2:11" ht="15.6" customHeight="1">
      <c r="B139" s="43">
        <v>4111</v>
      </c>
      <c r="C139" s="43" t="s">
        <v>311</v>
      </c>
      <c r="D139" s="43"/>
      <c r="E139" s="44">
        <v>14.5</v>
      </c>
      <c r="F139" s="44">
        <v>18.8</v>
      </c>
      <c r="G139" s="45">
        <v>22.872337295545915</v>
      </c>
      <c r="H139" s="43" t="s">
        <v>191</v>
      </c>
      <c r="J139" s="36">
        <f>Table3[[#This Row],[כמות]]*Table3[[#This Row],[מחיר לקוח]]</f>
        <v>0</v>
      </c>
      <c r="K139" s="37" t="s">
        <v>245</v>
      </c>
    </row>
    <row r="140" spans="2:11" ht="15.6" customHeight="1">
      <c r="B140" s="43">
        <v>1901</v>
      </c>
      <c r="C140" s="43" t="s">
        <v>312</v>
      </c>
      <c r="D140" s="43"/>
      <c r="E140" s="44">
        <v>2.8</v>
      </c>
      <c r="F140" s="44">
        <v>4.7</v>
      </c>
      <c r="G140" s="45">
        <v>40.425530511796445</v>
      </c>
      <c r="H140" s="43" t="s">
        <v>191</v>
      </c>
      <c r="J140" s="36">
        <f>Table3[[#This Row],[כמות]]*Table3[[#This Row],[מחיר לקוח]]</f>
        <v>0</v>
      </c>
      <c r="K140" s="37" t="s">
        <v>245</v>
      </c>
    </row>
    <row r="141" spans="2:11" ht="15.6" customHeight="1">
      <c r="B141" s="43">
        <v>664</v>
      </c>
      <c r="C141" s="43" t="s">
        <v>313</v>
      </c>
      <c r="D141" s="43"/>
      <c r="E141" s="44">
        <v>12.484629999999999</v>
      </c>
      <c r="F141" s="44">
        <v>16.5</v>
      </c>
      <c r="G141" s="45">
        <v>24.335566433993254</v>
      </c>
      <c r="H141" s="43" t="s">
        <v>191</v>
      </c>
      <c r="J141" s="36">
        <f>Table3[[#This Row],[כמות]]*Table3[[#This Row],[מחיר לקוח]]</f>
        <v>0</v>
      </c>
      <c r="K141" s="37" t="s">
        <v>245</v>
      </c>
    </row>
    <row r="142" spans="2:11" ht="15.6" customHeight="1">
      <c r="B142" s="43">
        <v>704</v>
      </c>
      <c r="C142" s="43" t="s">
        <v>314</v>
      </c>
      <c r="D142" s="43"/>
      <c r="E142" s="44">
        <v>4.153861</v>
      </c>
      <c r="F142" s="44">
        <v>5.5</v>
      </c>
      <c r="G142" s="45">
        <v>24.475262381813742</v>
      </c>
      <c r="H142" s="43" t="s">
        <v>191</v>
      </c>
      <c r="J142" s="36">
        <f>Table3[[#This Row],[כמות]]*Table3[[#This Row],[מחיר לקוח]]</f>
        <v>0</v>
      </c>
      <c r="K142" s="37" t="s">
        <v>245</v>
      </c>
    </row>
    <row r="143" spans="2:11" ht="15.6" customHeight="1">
      <c r="B143" s="43">
        <v>2955</v>
      </c>
      <c r="C143" s="43" t="s">
        <v>315</v>
      </c>
      <c r="D143" s="43"/>
      <c r="E143" s="44">
        <v>30.973790000000001</v>
      </c>
      <c r="F143" s="44">
        <v>42</v>
      </c>
      <c r="G143" s="45">
        <v>26.252891903831845</v>
      </c>
      <c r="H143" s="43" t="s">
        <v>8</v>
      </c>
      <c r="J143" s="36">
        <f>Table3[[#This Row],[כמות]]*Table3[[#This Row],[מחיר לקוח]]</f>
        <v>0</v>
      </c>
      <c r="K143" s="37" t="s">
        <v>245</v>
      </c>
    </row>
    <row r="144" spans="2:11" ht="15.6" customHeight="1">
      <c r="B144" s="43">
        <v>688</v>
      </c>
      <c r="C144" s="43" t="s">
        <v>316</v>
      </c>
      <c r="D144" s="43"/>
      <c r="E144" s="44">
        <v>15.913029999999999</v>
      </c>
      <c r="F144" s="44">
        <v>23</v>
      </c>
      <c r="G144" s="45">
        <v>30.812926914380945</v>
      </c>
      <c r="H144" s="43" t="s">
        <v>8</v>
      </c>
      <c r="J144" s="36">
        <f>Table3[[#This Row],[כמות]]*Table3[[#This Row],[מחיר לקוח]]</f>
        <v>0</v>
      </c>
      <c r="K144" s="37" t="s">
        <v>245</v>
      </c>
    </row>
    <row r="145" spans="2:11" ht="15.6" customHeight="1">
      <c r="B145" s="43">
        <v>1164</v>
      </c>
      <c r="C145" s="43" t="s">
        <v>459</v>
      </c>
      <c r="D145" s="43"/>
      <c r="E145" s="44">
        <v>12.42202</v>
      </c>
      <c r="F145" s="44">
        <v>18</v>
      </c>
      <c r="G145" s="45">
        <v>30.988804499308269</v>
      </c>
      <c r="H145" s="43" t="s">
        <v>240</v>
      </c>
      <c r="J145" s="36">
        <f>Table3[[#This Row],[כמות]]*Table3[[#This Row],[מחיר לקוח]]</f>
        <v>0</v>
      </c>
      <c r="K145" s="37" t="s">
        <v>245</v>
      </c>
    </row>
    <row r="146" spans="2:11" ht="15.6" customHeight="1">
      <c r="B146" s="43">
        <v>2133</v>
      </c>
      <c r="C146" s="43" t="s">
        <v>317</v>
      </c>
      <c r="D146" s="43"/>
      <c r="E146" s="44">
        <v>1.6</v>
      </c>
      <c r="F146" s="44">
        <v>2.2999999999999998</v>
      </c>
      <c r="G146" s="45">
        <v>30.434780129863494</v>
      </c>
      <c r="H146" s="43" t="s">
        <v>191</v>
      </c>
      <c r="I146" s="50">
        <v>4</v>
      </c>
      <c r="J146" s="36">
        <f>Table3[[#This Row],[כמות]]*Table3[[#This Row],[מחיר לקוח]]</f>
        <v>9.1999999999999993</v>
      </c>
      <c r="K146" s="37" t="s">
        <v>245</v>
      </c>
    </row>
    <row r="147" spans="2:11" ht="15.6" customHeight="1">
      <c r="B147" s="43">
        <v>4500</v>
      </c>
      <c r="C147" s="43" t="s">
        <v>318</v>
      </c>
      <c r="D147" s="43"/>
      <c r="E147" s="44">
        <v>12.152749999999999</v>
      </c>
      <c r="F147" s="44">
        <v>20</v>
      </c>
      <c r="G147" s="45">
        <v>39.236264228820801</v>
      </c>
      <c r="H147" s="43" t="s">
        <v>191</v>
      </c>
      <c r="I147" s="50">
        <v>3</v>
      </c>
      <c r="J147" s="36">
        <f>Table3[[#This Row],[כמות]]*Table3[[#This Row],[מחיר לקוח]]</f>
        <v>60</v>
      </c>
      <c r="K147" s="37" t="s">
        <v>245</v>
      </c>
    </row>
    <row r="148" spans="2:11" ht="15.6" customHeight="1">
      <c r="B148" s="43">
        <v>2064</v>
      </c>
      <c r="C148" s="43" t="s">
        <v>319</v>
      </c>
      <c r="D148" s="43"/>
      <c r="E148" s="44">
        <v>1.501938</v>
      </c>
      <c r="F148" s="44">
        <v>2.2999999999999998</v>
      </c>
      <c r="G148" s="45">
        <v>34.698347106152973</v>
      </c>
      <c r="H148" s="43" t="s">
        <v>191</v>
      </c>
      <c r="J148" s="36">
        <f>Table3[[#This Row],[כמות]]*Table3[[#This Row],[מחיר לקוח]]</f>
        <v>0</v>
      </c>
      <c r="K148" s="37" t="s">
        <v>245</v>
      </c>
    </row>
    <row r="149" spans="2:11" ht="15.6" customHeight="1">
      <c r="B149" s="43">
        <v>4501</v>
      </c>
      <c r="C149" s="43" t="s">
        <v>320</v>
      </c>
      <c r="D149" s="43"/>
      <c r="E149" s="44">
        <v>12.72818</v>
      </c>
      <c r="F149" s="44">
        <v>20</v>
      </c>
      <c r="G149" s="45">
        <v>36.359095573425293</v>
      </c>
      <c r="H149" s="43" t="s">
        <v>191</v>
      </c>
      <c r="J149" s="36">
        <f>Table3[[#This Row],[כמות]]*Table3[[#This Row],[מחיר לקוח]]</f>
        <v>0</v>
      </c>
      <c r="K149" s="37" t="s">
        <v>245</v>
      </c>
    </row>
    <row r="150" spans="2:11" ht="15.6" customHeight="1">
      <c r="B150" s="43">
        <v>2368</v>
      </c>
      <c r="C150" s="43" t="s">
        <v>321</v>
      </c>
      <c r="D150" s="43"/>
      <c r="E150" s="44">
        <v>1.27</v>
      </c>
      <c r="F150" s="44">
        <v>2.2999999999999998</v>
      </c>
      <c r="G150" s="45">
        <v>44.782608380164447</v>
      </c>
      <c r="H150" s="43" t="s">
        <v>191</v>
      </c>
      <c r="J150" s="36">
        <f>Table3[[#This Row],[כמות]]*Table3[[#This Row],[מחיר לקוח]]</f>
        <v>0</v>
      </c>
      <c r="K150" s="37" t="s">
        <v>245</v>
      </c>
    </row>
    <row r="151" spans="2:11" ht="15.6" customHeight="1">
      <c r="B151" s="43">
        <v>694</v>
      </c>
      <c r="C151" s="43" t="s">
        <v>322</v>
      </c>
      <c r="D151" s="43"/>
      <c r="E151" s="44">
        <v>9.0417380000000005</v>
      </c>
      <c r="F151" s="44">
        <v>13</v>
      </c>
      <c r="G151" s="45">
        <v>30.448172642634464</v>
      </c>
      <c r="H151" s="43" t="s">
        <v>8</v>
      </c>
      <c r="J151" s="36">
        <f>Table3[[#This Row],[כמות]]*Table3[[#This Row],[מחיר לקוח]]</f>
        <v>0</v>
      </c>
      <c r="K151" s="37" t="s">
        <v>245</v>
      </c>
    </row>
    <row r="152" spans="2:11" ht="15.6" customHeight="1">
      <c r="B152" s="43">
        <v>2023</v>
      </c>
      <c r="C152" s="43" t="s">
        <v>323</v>
      </c>
      <c r="D152" s="43"/>
      <c r="E152" s="44">
        <v>12.68</v>
      </c>
      <c r="F152" s="44">
        <v>14.9</v>
      </c>
      <c r="G152" s="45">
        <v>14.899331032652658</v>
      </c>
      <c r="H152" s="43" t="s">
        <v>191</v>
      </c>
      <c r="J152" s="36">
        <f>Table3[[#This Row],[כמות]]*Table3[[#This Row],[מחיר לקוח]]</f>
        <v>0</v>
      </c>
      <c r="K152" s="37" t="s">
        <v>245</v>
      </c>
    </row>
    <row r="153" spans="2:11" ht="15.6" customHeight="1">
      <c r="B153" s="43">
        <v>2056</v>
      </c>
      <c r="C153" s="43" t="s">
        <v>324</v>
      </c>
      <c r="D153" s="43"/>
      <c r="E153" s="44">
        <v>1.2704</v>
      </c>
      <c r="F153" s="44">
        <v>2.2999999999999998</v>
      </c>
      <c r="G153" s="45">
        <v>44.765234921605376</v>
      </c>
      <c r="H153" s="43" t="s">
        <v>191</v>
      </c>
      <c r="J153" s="36">
        <f>Table3[[#This Row],[כמות]]*Table3[[#This Row],[מחיר לקוח]]</f>
        <v>0</v>
      </c>
      <c r="K153" s="37" t="s">
        <v>245</v>
      </c>
    </row>
    <row r="154" spans="2:11" ht="15.6" customHeight="1">
      <c r="B154" s="43">
        <v>4514</v>
      </c>
      <c r="C154" s="43" t="s">
        <v>325</v>
      </c>
      <c r="D154" s="43"/>
      <c r="E154" s="44">
        <v>36.471939999999996</v>
      </c>
      <c r="F154" s="44">
        <v>48</v>
      </c>
      <c r="G154" s="45">
        <v>24.016801516215008</v>
      </c>
      <c r="H154" s="43" t="s">
        <v>326</v>
      </c>
      <c r="J154" s="36">
        <f>Table3[[#This Row],[כמות]]*Table3[[#This Row],[מחיר לקוח]]</f>
        <v>0</v>
      </c>
      <c r="K154" s="37" t="s">
        <v>245</v>
      </c>
    </row>
    <row r="155" spans="2:11" ht="15.6" customHeight="1">
      <c r="B155" s="43">
        <v>740</v>
      </c>
      <c r="C155" s="43" t="s">
        <v>460</v>
      </c>
      <c r="D155" s="43"/>
      <c r="E155" s="44">
        <v>7.9951689999999997</v>
      </c>
      <c r="F155" s="44">
        <v>13.5</v>
      </c>
      <c r="G155" s="45">
        <v>40.776528252495659</v>
      </c>
      <c r="H155" s="43" t="s">
        <v>8</v>
      </c>
      <c r="J155" s="36">
        <f>Table3[[#This Row],[כמות]]*Table3[[#This Row],[מחיר לקוח]]</f>
        <v>0</v>
      </c>
      <c r="K155" s="37" t="s">
        <v>245</v>
      </c>
    </row>
    <row r="156" spans="2:11" ht="15.6" customHeight="1">
      <c r="B156" s="43">
        <v>3937</v>
      </c>
      <c r="C156" s="43" t="s">
        <v>327</v>
      </c>
      <c r="D156" s="43"/>
      <c r="E156" s="44">
        <v>5.3</v>
      </c>
      <c r="F156" s="44">
        <v>7.3</v>
      </c>
      <c r="G156" s="45">
        <v>27.397266090150961</v>
      </c>
      <c r="H156" s="43" t="s">
        <v>8</v>
      </c>
      <c r="J156" s="36">
        <f>Table3[[#This Row],[כמות]]*Table3[[#This Row],[מחיר לקוח]]</f>
        <v>0</v>
      </c>
      <c r="K156" s="37" t="s">
        <v>245</v>
      </c>
    </row>
    <row r="157" spans="2:11" ht="15.6" customHeight="1">
      <c r="B157" s="43">
        <v>4091</v>
      </c>
      <c r="C157" s="43" t="s">
        <v>328</v>
      </c>
      <c r="D157" s="43"/>
      <c r="E157" s="44">
        <v>18.943770000000001</v>
      </c>
      <c r="F157" s="44">
        <v>25</v>
      </c>
      <c r="G157" s="45">
        <v>24.22491455078125</v>
      </c>
      <c r="H157" s="43" t="s">
        <v>191</v>
      </c>
      <c r="J157" s="36">
        <f>Table3[[#This Row],[כמות]]*Table3[[#This Row],[מחיר לקוח]]</f>
        <v>0</v>
      </c>
      <c r="K157" s="37" t="s">
        <v>245</v>
      </c>
    </row>
    <row r="158" spans="2:11" ht="15.6" customHeight="1">
      <c r="B158" s="43">
        <v>754</v>
      </c>
      <c r="C158" s="43" t="s">
        <v>329</v>
      </c>
      <c r="D158" s="43"/>
      <c r="E158" s="44">
        <v>2.9064269999999999</v>
      </c>
      <c r="F158" s="44">
        <v>4.5</v>
      </c>
      <c r="G158" s="45">
        <v>35.412735409206817</v>
      </c>
      <c r="H158" s="43" t="s">
        <v>8</v>
      </c>
      <c r="J158" s="36">
        <f>Table3[[#This Row],[כמות]]*Table3[[#This Row],[מחיר לקוח]]</f>
        <v>0</v>
      </c>
      <c r="K158" s="37" t="s">
        <v>245</v>
      </c>
    </row>
    <row r="159" spans="2:11" ht="15.6" customHeight="1">
      <c r="B159" s="43">
        <v>3936</v>
      </c>
      <c r="C159" s="43" t="s">
        <v>461</v>
      </c>
      <c r="D159" s="43"/>
      <c r="E159" s="44">
        <v>7.6726929999999998</v>
      </c>
      <c r="F159" s="44">
        <v>9.5</v>
      </c>
      <c r="G159" s="45">
        <v>19.234812887091387</v>
      </c>
      <c r="H159" s="43" t="s">
        <v>191</v>
      </c>
      <c r="J159" s="36">
        <f>Table3[[#This Row],[כמות]]*Table3[[#This Row],[מחיר לקוח]]</f>
        <v>0</v>
      </c>
      <c r="K159" s="37" t="s">
        <v>245</v>
      </c>
    </row>
    <row r="160" spans="2:11" ht="15.6" customHeight="1">
      <c r="B160" s="43">
        <v>756</v>
      </c>
      <c r="C160" s="43" t="s">
        <v>330</v>
      </c>
      <c r="D160" s="43"/>
      <c r="E160" s="44">
        <v>8.33</v>
      </c>
      <c r="F160" s="44">
        <v>12.8</v>
      </c>
      <c r="G160" s="45">
        <v>34.921876565786057</v>
      </c>
      <c r="H160" s="43" t="s">
        <v>191</v>
      </c>
      <c r="J160" s="36">
        <f>Table3[[#This Row],[כמות]]*Table3[[#This Row],[מחיר לקוח]]</f>
        <v>0</v>
      </c>
      <c r="K160" s="37" t="s">
        <v>245</v>
      </c>
    </row>
    <row r="161" spans="2:11" ht="15.6" customHeight="1">
      <c r="B161" s="43">
        <v>2218</v>
      </c>
      <c r="C161" s="43" t="s">
        <v>331</v>
      </c>
      <c r="D161" s="43"/>
      <c r="E161" s="44">
        <v>20.17792</v>
      </c>
      <c r="F161" s="44">
        <v>24</v>
      </c>
      <c r="G161" s="45">
        <v>15.925327936808268</v>
      </c>
      <c r="H161" s="43" t="s">
        <v>191</v>
      </c>
      <c r="J161" s="36">
        <f>Table3[[#This Row],[כמות]]*Table3[[#This Row],[מחיר לקוח]]</f>
        <v>0</v>
      </c>
      <c r="K161" s="37" t="s">
        <v>245</v>
      </c>
    </row>
    <row r="162" spans="2:11" ht="15.6" customHeight="1">
      <c r="B162" s="43">
        <v>1576</v>
      </c>
      <c r="C162" s="43" t="s">
        <v>462</v>
      </c>
      <c r="D162" s="43"/>
      <c r="E162" s="44">
        <v>21.264500000000002</v>
      </c>
      <c r="F162" s="44">
        <v>24</v>
      </c>
      <c r="G162" s="45">
        <v>11.397918065388998</v>
      </c>
      <c r="H162" s="43" t="s">
        <v>191</v>
      </c>
      <c r="J162" s="36">
        <f>Table3[[#This Row],[כמות]]*Table3[[#This Row],[מחיר לקוח]]</f>
        <v>0</v>
      </c>
      <c r="K162" s="37" t="s">
        <v>245</v>
      </c>
    </row>
    <row r="163" spans="2:11" ht="15.6" customHeight="1">
      <c r="B163" s="43">
        <v>761</v>
      </c>
      <c r="C163" s="43" t="s">
        <v>332</v>
      </c>
      <c r="D163" s="43"/>
      <c r="E163" s="44">
        <v>7.4880000000000004</v>
      </c>
      <c r="F163" s="44">
        <v>8.9</v>
      </c>
      <c r="G163" s="45">
        <v>15.865165876117057</v>
      </c>
      <c r="H163" s="43" t="s">
        <v>191</v>
      </c>
      <c r="J163" s="36">
        <f>Table3[[#This Row],[כמות]]*Table3[[#This Row],[מחיר לקוח]]</f>
        <v>0</v>
      </c>
      <c r="K163" s="37" t="s">
        <v>245</v>
      </c>
    </row>
    <row r="164" spans="2:11" ht="15.6" customHeight="1">
      <c r="B164" s="43">
        <v>5174</v>
      </c>
      <c r="C164" s="43" t="s">
        <v>333</v>
      </c>
      <c r="D164" s="43"/>
      <c r="E164" s="44">
        <v>96.210310000000007</v>
      </c>
      <c r="F164" s="44">
        <v>119</v>
      </c>
      <c r="G164" s="45">
        <v>19.150998412060137</v>
      </c>
      <c r="H164" s="43" t="s">
        <v>240</v>
      </c>
      <c r="J164" s="36">
        <f>Table3[[#This Row],[כמות]]*Table3[[#This Row],[מחיר לקוח]]</f>
        <v>0</v>
      </c>
      <c r="K164" s="37" t="s">
        <v>245</v>
      </c>
    </row>
    <row r="165" spans="2:11" ht="15.6" customHeight="1">
      <c r="B165" s="43">
        <v>4412</v>
      </c>
      <c r="C165" s="43" t="s">
        <v>334</v>
      </c>
      <c r="D165" s="43"/>
      <c r="E165" s="44">
        <v>60</v>
      </c>
      <c r="F165" s="44">
        <v>105</v>
      </c>
      <c r="G165" s="45">
        <v>42.857142857142854</v>
      </c>
      <c r="H165" s="43" t="s">
        <v>240</v>
      </c>
      <c r="J165" s="36">
        <f>Table3[[#This Row],[כמות]]*Table3[[#This Row],[מחיר לקוח]]</f>
        <v>0</v>
      </c>
      <c r="K165" s="37" t="s">
        <v>245</v>
      </c>
    </row>
    <row r="166" spans="2:11" ht="15.6" customHeight="1">
      <c r="B166" s="43">
        <v>626</v>
      </c>
      <c r="C166" s="43" t="s">
        <v>463</v>
      </c>
      <c r="D166" s="43"/>
      <c r="E166" s="44">
        <v>7.0553860000000004</v>
      </c>
      <c r="F166" s="44">
        <v>8.9</v>
      </c>
      <c r="G166" s="45">
        <v>20.726001213416676</v>
      </c>
      <c r="H166" s="43" t="s">
        <v>8</v>
      </c>
      <c r="J166" s="36">
        <f>Table3[[#This Row],[כמות]]*Table3[[#This Row],[מחיר לקוח]]</f>
        <v>0</v>
      </c>
      <c r="K166" s="37" t="s">
        <v>245</v>
      </c>
    </row>
    <row r="167" spans="2:11" ht="15.6" customHeight="1">
      <c r="B167" s="43">
        <v>771</v>
      </c>
      <c r="C167" s="43" t="s">
        <v>335</v>
      </c>
      <c r="D167" s="43"/>
      <c r="E167" s="44">
        <v>1.5</v>
      </c>
      <c r="F167" s="44">
        <v>2.5</v>
      </c>
      <c r="G167" s="45">
        <v>40</v>
      </c>
      <c r="H167" s="43" t="s">
        <v>8</v>
      </c>
      <c r="J167" s="36">
        <f>Table3[[#This Row],[כמות]]*Table3[[#This Row],[מחיר לקוח]]</f>
        <v>0</v>
      </c>
      <c r="K167" s="37" t="s">
        <v>245</v>
      </c>
    </row>
    <row r="168" spans="2:11" ht="15.6" customHeight="1">
      <c r="B168" s="43">
        <v>4831</v>
      </c>
      <c r="C168" s="43" t="s">
        <v>336</v>
      </c>
      <c r="D168" s="43"/>
      <c r="E168" s="44">
        <v>17.955269999999999</v>
      </c>
      <c r="F168" s="44">
        <v>30</v>
      </c>
      <c r="G168" s="45">
        <v>40.149103800455727</v>
      </c>
      <c r="H168" s="43" t="s">
        <v>8</v>
      </c>
      <c r="J168" s="36">
        <f>Table3[[#This Row],[כמות]]*Table3[[#This Row],[מחיר לקוח]]</f>
        <v>0</v>
      </c>
      <c r="K168" s="37" t="s">
        <v>245</v>
      </c>
    </row>
    <row r="169" spans="2:11" ht="15.6" customHeight="1">
      <c r="B169" s="43">
        <v>784</v>
      </c>
      <c r="C169" s="43" t="s">
        <v>337</v>
      </c>
      <c r="D169" s="43"/>
      <c r="E169" s="44">
        <v>6.2330500000000004</v>
      </c>
      <c r="F169" s="44">
        <v>7.5</v>
      </c>
      <c r="G169" s="45">
        <v>16.892668406168621</v>
      </c>
      <c r="H169" s="43" t="s">
        <v>191</v>
      </c>
      <c r="J169" s="36">
        <f>Table3[[#This Row],[כמות]]*Table3[[#This Row],[מחיר לקוח]]</f>
        <v>0</v>
      </c>
      <c r="K169" s="37" t="s">
        <v>245</v>
      </c>
    </row>
    <row r="170" spans="2:11" ht="15.6" customHeight="1">
      <c r="B170" s="43">
        <v>2164</v>
      </c>
      <c r="C170" s="43" t="s">
        <v>338</v>
      </c>
      <c r="D170" s="43"/>
      <c r="E170" s="44">
        <v>24.501999999999999</v>
      </c>
      <c r="F170" s="44">
        <v>31</v>
      </c>
      <c r="G170" s="45">
        <v>20.961293866557458</v>
      </c>
      <c r="H170" s="43" t="s">
        <v>191</v>
      </c>
      <c r="J170" s="36">
        <f>Table3[[#This Row],[כמות]]*Table3[[#This Row],[מחיר לקוח]]</f>
        <v>0</v>
      </c>
      <c r="K170" s="37" t="s">
        <v>245</v>
      </c>
    </row>
    <row r="171" spans="2:11" ht="15.6" customHeight="1">
      <c r="B171" s="43">
        <v>789</v>
      </c>
      <c r="C171" s="43" t="s">
        <v>339</v>
      </c>
      <c r="D171" s="43"/>
      <c r="E171" s="44">
        <v>19.65662</v>
      </c>
      <c r="F171" s="44">
        <v>22</v>
      </c>
      <c r="G171" s="45">
        <v>10.651718486439098</v>
      </c>
      <c r="H171" s="43" t="s">
        <v>191</v>
      </c>
      <c r="J171" s="36">
        <f>Table3[[#This Row],[כמות]]*Table3[[#This Row],[מחיר לקוח]]</f>
        <v>0</v>
      </c>
      <c r="K171" s="37" t="s">
        <v>245</v>
      </c>
    </row>
    <row r="172" spans="2:11" ht="15.6" customHeight="1">
      <c r="B172" s="43">
        <v>1238</v>
      </c>
      <c r="C172" s="43" t="s">
        <v>464</v>
      </c>
      <c r="D172" s="43"/>
      <c r="E172" s="44">
        <v>19.599900000000002</v>
      </c>
      <c r="F172" s="44">
        <v>19.899999999999999</v>
      </c>
      <c r="G172" s="45">
        <v>1.5080610401414467</v>
      </c>
      <c r="H172" s="43" t="s">
        <v>191</v>
      </c>
      <c r="J172" s="36">
        <f>Table3[[#This Row],[כמות]]*Table3[[#This Row],[מחיר לקוח]]</f>
        <v>0</v>
      </c>
      <c r="K172" s="37" t="s">
        <v>245</v>
      </c>
    </row>
    <row r="173" spans="2:11" ht="15.6" customHeight="1">
      <c r="B173" s="43">
        <v>4015</v>
      </c>
      <c r="C173" s="43" t="s">
        <v>340</v>
      </c>
      <c r="D173" s="43"/>
      <c r="E173" s="44">
        <v>14.760899999999999</v>
      </c>
      <c r="F173" s="44">
        <v>19</v>
      </c>
      <c r="G173" s="45">
        <v>22.311050013491982</v>
      </c>
      <c r="H173" s="43" t="s">
        <v>191</v>
      </c>
      <c r="J173" s="36">
        <f>Table3[[#This Row],[כמות]]*Table3[[#This Row],[מחיר לקוח]]</f>
        <v>0</v>
      </c>
      <c r="K173" s="37" t="s">
        <v>245</v>
      </c>
    </row>
    <row r="174" spans="2:11" ht="15.6" customHeight="1">
      <c r="B174" s="43">
        <v>807</v>
      </c>
      <c r="C174" s="43" t="s">
        <v>341</v>
      </c>
      <c r="D174" s="43"/>
      <c r="E174" s="44">
        <v>13</v>
      </c>
      <c r="F174" s="44">
        <v>18</v>
      </c>
      <c r="G174" s="45">
        <v>27.777777777777779</v>
      </c>
      <c r="H174" s="43" t="s">
        <v>8</v>
      </c>
      <c r="J174" s="36">
        <f>Table3[[#This Row],[כמות]]*Table3[[#This Row],[מחיר לקוח]]</f>
        <v>0</v>
      </c>
      <c r="K174" s="37" t="s">
        <v>245</v>
      </c>
    </row>
    <row r="175" spans="2:11" ht="15.6" customHeight="1">
      <c r="B175" s="43">
        <v>1332</v>
      </c>
      <c r="C175" s="43" t="s">
        <v>342</v>
      </c>
      <c r="D175" s="43"/>
      <c r="E175" s="44">
        <v>12</v>
      </c>
      <c r="F175" s="44">
        <v>16.5</v>
      </c>
      <c r="G175" s="45">
        <v>27.272727272727273</v>
      </c>
      <c r="H175" s="43" t="s">
        <v>191</v>
      </c>
      <c r="J175" s="36">
        <f>Table3[[#This Row],[כמות]]*Table3[[#This Row],[מחיר לקוח]]</f>
        <v>0</v>
      </c>
      <c r="K175" s="37" t="s">
        <v>245</v>
      </c>
    </row>
    <row r="176" spans="2:11" ht="15.6" customHeight="1">
      <c r="B176" s="43">
        <v>4074</v>
      </c>
      <c r="C176" s="43" t="s">
        <v>343</v>
      </c>
      <c r="D176" s="43"/>
      <c r="E176" s="44">
        <v>23.41</v>
      </c>
      <c r="F176" s="44">
        <v>35</v>
      </c>
      <c r="G176" s="45">
        <v>33.114286150251118</v>
      </c>
      <c r="H176" s="43" t="s">
        <v>191</v>
      </c>
      <c r="I176" s="50">
        <v>5</v>
      </c>
      <c r="J176" s="36">
        <f>Table3[[#This Row],[כמות]]*Table3[[#This Row],[מחיר לקוח]]</f>
        <v>175</v>
      </c>
      <c r="K176" s="37" t="s">
        <v>245</v>
      </c>
    </row>
    <row r="177" spans="2:11" ht="15.6" customHeight="1">
      <c r="B177" s="43">
        <v>4073</v>
      </c>
      <c r="C177" s="43" t="s">
        <v>344</v>
      </c>
      <c r="D177" s="43"/>
      <c r="E177" s="44">
        <v>27.674109999999999</v>
      </c>
      <c r="F177" s="44">
        <v>35</v>
      </c>
      <c r="G177" s="45">
        <v>20.931107657296316</v>
      </c>
      <c r="H177" s="43" t="s">
        <v>191</v>
      </c>
      <c r="J177" s="36">
        <f>Table3[[#This Row],[כמות]]*Table3[[#This Row],[מחיר לקוח]]</f>
        <v>0</v>
      </c>
      <c r="K177" s="37" t="s">
        <v>245</v>
      </c>
    </row>
    <row r="178" spans="2:11" ht="15.6" customHeight="1">
      <c r="B178" s="43">
        <v>1036</v>
      </c>
      <c r="C178" s="43" t="s">
        <v>345</v>
      </c>
      <c r="D178" s="43"/>
      <c r="E178" s="44">
        <v>12.48621</v>
      </c>
      <c r="F178" s="44">
        <v>15</v>
      </c>
      <c r="G178" s="45">
        <v>16.758619944254558</v>
      </c>
      <c r="H178" s="43" t="s">
        <v>191</v>
      </c>
      <c r="J178" s="36">
        <f>Table3[[#This Row],[כמות]]*Table3[[#This Row],[מחיר לקוח]]</f>
        <v>0</v>
      </c>
      <c r="K178" s="37" t="s">
        <v>245</v>
      </c>
    </row>
    <row r="179" spans="2:11" ht="15.6" customHeight="1">
      <c r="B179" s="43">
        <v>4551</v>
      </c>
      <c r="C179" s="43" t="s">
        <v>346</v>
      </c>
      <c r="D179" s="43"/>
      <c r="E179" s="44">
        <v>19</v>
      </c>
      <c r="F179" s="44">
        <v>37</v>
      </c>
      <c r="G179" s="45">
        <v>48.648648648648646</v>
      </c>
      <c r="H179" s="43" t="s">
        <v>191</v>
      </c>
      <c r="J179" s="36">
        <f>Table3[[#This Row],[כמות]]*Table3[[#This Row],[מחיר לקוח]]</f>
        <v>0</v>
      </c>
      <c r="K179" s="37" t="s">
        <v>245</v>
      </c>
    </row>
    <row r="180" spans="2:11" ht="15.6" customHeight="1">
      <c r="B180" s="43">
        <v>845</v>
      </c>
      <c r="C180" s="43" t="s">
        <v>347</v>
      </c>
      <c r="D180" s="43"/>
      <c r="E180" s="44">
        <v>5.4</v>
      </c>
      <c r="F180" s="44">
        <v>6.4</v>
      </c>
      <c r="G180" s="45">
        <v>15.62499976716936</v>
      </c>
      <c r="H180" s="43" t="s">
        <v>191</v>
      </c>
      <c r="J180" s="36">
        <f>Table3[[#This Row],[כמות]]*Table3[[#This Row],[מחיר לקוח]]</f>
        <v>0</v>
      </c>
      <c r="K180" s="37" t="s">
        <v>245</v>
      </c>
    </row>
    <row r="181" spans="2:11" ht="15.6" customHeight="1">
      <c r="B181" s="43">
        <v>846</v>
      </c>
      <c r="C181" s="43" t="s">
        <v>348</v>
      </c>
      <c r="D181" s="43"/>
      <c r="E181" s="44">
        <v>26.069510000000001</v>
      </c>
      <c r="F181" s="44">
        <v>35</v>
      </c>
      <c r="G181" s="45">
        <v>25.515687125069753</v>
      </c>
      <c r="H181" s="43" t="s">
        <v>240</v>
      </c>
      <c r="J181" s="36">
        <f>Table3[[#This Row],[כמות]]*Table3[[#This Row],[מחיר לקוח]]</f>
        <v>0</v>
      </c>
      <c r="K181" s="37" t="s">
        <v>245</v>
      </c>
    </row>
    <row r="182" spans="2:11" ht="15.6" customHeight="1">
      <c r="B182" s="43">
        <v>851</v>
      </c>
      <c r="C182" s="43" t="s">
        <v>349</v>
      </c>
      <c r="D182" s="43"/>
      <c r="E182" s="44">
        <v>2.9998809999999998</v>
      </c>
      <c r="F182" s="44">
        <v>4</v>
      </c>
      <c r="G182" s="45">
        <v>25.00298023223877</v>
      </c>
      <c r="H182" s="43" t="s">
        <v>191</v>
      </c>
      <c r="J182" s="36">
        <f>Table3[[#This Row],[כמות]]*Table3[[#This Row],[מחיר לקוח]]</f>
        <v>0</v>
      </c>
      <c r="K182" s="37" t="s">
        <v>245</v>
      </c>
    </row>
    <row r="183" spans="2:11" ht="15.6" customHeight="1">
      <c r="B183" s="43">
        <v>852</v>
      </c>
      <c r="C183" s="43" t="s">
        <v>350</v>
      </c>
      <c r="D183" s="43"/>
      <c r="E183" s="44">
        <v>12</v>
      </c>
      <c r="F183" s="44">
        <v>15</v>
      </c>
      <c r="G183" s="45">
        <v>20</v>
      </c>
      <c r="H183" s="43" t="s">
        <v>191</v>
      </c>
      <c r="J183" s="36">
        <f>Table3[[#This Row],[כמות]]*Table3[[#This Row],[מחיר לקוח]]</f>
        <v>0</v>
      </c>
      <c r="K183" s="37" t="s">
        <v>245</v>
      </c>
    </row>
    <row r="184" spans="2:11" ht="15.6" customHeight="1">
      <c r="B184" s="43">
        <v>2303</v>
      </c>
      <c r="C184" s="43" t="s">
        <v>352</v>
      </c>
      <c r="D184" s="43"/>
      <c r="E184" s="44">
        <v>23.6</v>
      </c>
      <c r="F184" s="44">
        <v>30</v>
      </c>
      <c r="G184" s="45">
        <v>21.333338419596355</v>
      </c>
      <c r="H184" s="43" t="s">
        <v>24</v>
      </c>
      <c r="J184" s="36">
        <f>Table3[[#This Row],[כמות]]*Table3[[#This Row],[מחיר לקוח]]</f>
        <v>0</v>
      </c>
      <c r="K184" s="37" t="s">
        <v>245</v>
      </c>
    </row>
    <row r="185" spans="2:11" ht="15.6" customHeight="1">
      <c r="B185" s="43">
        <v>1711</v>
      </c>
      <c r="C185" s="43" t="s">
        <v>353</v>
      </c>
      <c r="D185" s="43"/>
      <c r="E185" s="44">
        <v>3.9587500000000002</v>
      </c>
      <c r="F185" s="44">
        <v>6.3</v>
      </c>
      <c r="G185" s="45">
        <v>37.162696379322583</v>
      </c>
      <c r="H185" s="43" t="s">
        <v>191</v>
      </c>
      <c r="I185" s="50">
        <v>10</v>
      </c>
      <c r="J185" s="36">
        <f>Table3[[#This Row],[כמות]]*Table3[[#This Row],[מחיר לקוח]]</f>
        <v>63</v>
      </c>
      <c r="K185" s="37" t="s">
        <v>245</v>
      </c>
    </row>
    <row r="186" spans="2:11" ht="15.6" customHeight="1">
      <c r="B186" s="43">
        <v>3071</v>
      </c>
      <c r="C186" s="43" t="s">
        <v>354</v>
      </c>
      <c r="D186" s="43"/>
      <c r="E186" s="44">
        <v>2.6999399999999998</v>
      </c>
      <c r="F186" s="44">
        <v>3.8</v>
      </c>
      <c r="G186" s="45">
        <v>28.948941092101411</v>
      </c>
      <c r="H186" s="43" t="s">
        <v>191</v>
      </c>
      <c r="J186" s="36">
        <f>Table3[[#This Row],[כמות]]*Table3[[#This Row],[מחיר לקוח]]</f>
        <v>0</v>
      </c>
      <c r="K186" s="37" t="s">
        <v>245</v>
      </c>
    </row>
    <row r="187" spans="2:11" ht="15.6" customHeight="1">
      <c r="B187" s="43">
        <v>4084</v>
      </c>
      <c r="C187" s="43" t="s">
        <v>355</v>
      </c>
      <c r="D187" s="43"/>
      <c r="E187" s="44">
        <v>9.3149239999999995</v>
      </c>
      <c r="F187" s="44">
        <v>16.8</v>
      </c>
      <c r="G187" s="45">
        <v>44.554019862312131</v>
      </c>
      <c r="H187" s="43" t="s">
        <v>191</v>
      </c>
      <c r="J187" s="36">
        <f>Table3[[#This Row],[כמות]]*Table3[[#This Row],[מחיר לקוח]]</f>
        <v>0</v>
      </c>
      <c r="K187" s="37" t="s">
        <v>245</v>
      </c>
    </row>
    <row r="188" spans="2:11" ht="15.6" customHeight="1">
      <c r="B188" s="43">
        <v>925</v>
      </c>
      <c r="C188" s="43" t="s">
        <v>356</v>
      </c>
      <c r="D188" s="43"/>
      <c r="E188" s="44">
        <v>2.5</v>
      </c>
      <c r="F188" s="44">
        <v>6.2</v>
      </c>
      <c r="G188" s="45">
        <v>59.677418114367399</v>
      </c>
      <c r="H188" s="43" t="s">
        <v>357</v>
      </c>
      <c r="J188" s="36">
        <f>Table3[[#This Row],[כמות]]*Table3[[#This Row],[מחיר לקוח]]</f>
        <v>0</v>
      </c>
      <c r="K188" s="37" t="s">
        <v>245</v>
      </c>
    </row>
    <row r="189" spans="2:11" ht="15.6" customHeight="1">
      <c r="B189" s="43">
        <v>4420</v>
      </c>
      <c r="C189" s="43" t="s">
        <v>358</v>
      </c>
      <c r="D189" s="43"/>
      <c r="E189" s="44">
        <v>40</v>
      </c>
      <c r="F189" s="44">
        <v>58</v>
      </c>
      <c r="G189" s="45">
        <v>31.03448275862069</v>
      </c>
      <c r="H189" s="43" t="s">
        <v>240</v>
      </c>
      <c r="J189" s="36">
        <f>Table3[[#This Row],[כמות]]*Table3[[#This Row],[מחיר לקוח]]</f>
        <v>0</v>
      </c>
      <c r="K189" s="37" t="s">
        <v>245</v>
      </c>
    </row>
    <row r="190" spans="2:11" ht="15.6" customHeight="1">
      <c r="B190" s="43">
        <v>4239</v>
      </c>
      <c r="C190" s="43" t="s">
        <v>359</v>
      </c>
      <c r="D190" s="43"/>
      <c r="E190" s="44">
        <v>13.1</v>
      </c>
      <c r="F190" s="44">
        <v>16.399999999999999</v>
      </c>
      <c r="G190" s="45">
        <v>20.121947035485874</v>
      </c>
      <c r="H190" s="43" t="s">
        <v>357</v>
      </c>
      <c r="J190" s="36">
        <f>Table3[[#This Row],[כמות]]*Table3[[#This Row],[מחיר לקוח]]</f>
        <v>0</v>
      </c>
      <c r="K190" s="37" t="s">
        <v>245</v>
      </c>
    </row>
    <row r="191" spans="2:11" ht="15.6" customHeight="1">
      <c r="B191" s="43">
        <v>942</v>
      </c>
      <c r="C191" s="43" t="s">
        <v>360</v>
      </c>
      <c r="D191" s="43"/>
      <c r="E191" s="44">
        <v>3.0657399999999999</v>
      </c>
      <c r="F191" s="44">
        <v>3.9</v>
      </c>
      <c r="G191" s="45">
        <v>21.391275078424428</v>
      </c>
      <c r="H191" s="43" t="s">
        <v>191</v>
      </c>
      <c r="J191" s="36">
        <f>Table3[[#This Row],[כמות]]*Table3[[#This Row],[מחיר לקוח]]</f>
        <v>0</v>
      </c>
      <c r="K191" s="37" t="s">
        <v>245</v>
      </c>
    </row>
    <row r="192" spans="2:11" ht="15.6" customHeight="1">
      <c r="B192" s="43">
        <v>943</v>
      </c>
      <c r="C192" s="43" t="s">
        <v>361</v>
      </c>
      <c r="D192" s="43"/>
      <c r="E192" s="44">
        <v>11.4529</v>
      </c>
      <c r="F192" s="44">
        <v>14.7</v>
      </c>
      <c r="G192" s="45">
        <v>22.089082654175566</v>
      </c>
      <c r="H192" s="43" t="s">
        <v>191</v>
      </c>
      <c r="J192" s="36">
        <f>Table3[[#This Row],[כמות]]*Table3[[#This Row],[מחיר לקוח]]</f>
        <v>0</v>
      </c>
      <c r="K192" s="37" t="s">
        <v>245</v>
      </c>
    </row>
    <row r="193" spans="2:11" ht="15.6" customHeight="1">
      <c r="F193" s="46"/>
      <c r="J193" s="46">
        <f>SUBTOTAL(109,Table3[סה"כ])</f>
        <v>465.2</v>
      </c>
      <c r="K193" s="42"/>
    </row>
    <row r="194" spans="2:11" ht="15.6" customHeight="1">
      <c r="F194" s="46"/>
      <c r="J194" s="46"/>
      <c r="K194" s="42"/>
    </row>
    <row r="195" spans="2:11" ht="15.6" customHeight="1">
      <c r="B195" s="10" t="s">
        <v>179</v>
      </c>
      <c r="C195" s="10" t="s">
        <v>16</v>
      </c>
      <c r="D195" s="10" t="s">
        <v>180</v>
      </c>
      <c r="E195" s="10" t="s">
        <v>181</v>
      </c>
      <c r="F195" s="10" t="s">
        <v>182</v>
      </c>
      <c r="G195" s="10" t="s">
        <v>183</v>
      </c>
      <c r="H195" s="10" t="s">
        <v>184</v>
      </c>
      <c r="I195" s="50" t="s">
        <v>9</v>
      </c>
      <c r="J195" s="10" t="s">
        <v>22</v>
      </c>
      <c r="K195" s="10" t="s">
        <v>185</v>
      </c>
    </row>
    <row r="196" spans="2:11" ht="15.6" customHeight="1">
      <c r="B196" s="43">
        <v>73</v>
      </c>
      <c r="C196" s="43" t="s">
        <v>362</v>
      </c>
      <c r="D196" s="43"/>
      <c r="E196" s="44">
        <v>1.8</v>
      </c>
      <c r="F196" s="44">
        <v>3</v>
      </c>
      <c r="G196" s="45">
        <v>40.000001589457192</v>
      </c>
      <c r="H196" s="43" t="s">
        <v>8</v>
      </c>
      <c r="J196" s="36">
        <f>Table4[[#This Row],[כמות]]*Table4[[#This Row],[מחיר לקוח]]</f>
        <v>0</v>
      </c>
      <c r="K196" s="37" t="s">
        <v>363</v>
      </c>
    </row>
    <row r="197" spans="2:11" ht="15.6" customHeight="1">
      <c r="B197" s="43">
        <v>81</v>
      </c>
      <c r="C197" s="43" t="s">
        <v>364</v>
      </c>
      <c r="D197" s="43"/>
      <c r="E197" s="44">
        <v>3.23</v>
      </c>
      <c r="F197" s="44">
        <v>5.5</v>
      </c>
      <c r="G197" s="45">
        <v>41.27272692593661</v>
      </c>
      <c r="H197" s="43" t="s">
        <v>8</v>
      </c>
      <c r="J197" s="36">
        <f>Table4[[#This Row],[כמות]]*Table4[[#This Row],[מחיר לקוח]]</f>
        <v>0</v>
      </c>
      <c r="K197" s="37" t="s">
        <v>363</v>
      </c>
    </row>
    <row r="198" spans="2:11" ht="15.6" customHeight="1">
      <c r="B198" s="43">
        <v>98</v>
      </c>
      <c r="C198" s="43" t="s">
        <v>365</v>
      </c>
      <c r="D198" s="43"/>
      <c r="E198" s="44">
        <v>6.5</v>
      </c>
      <c r="F198" s="44">
        <v>5.5</v>
      </c>
      <c r="G198" s="45">
        <v>-18.181818181818183</v>
      </c>
      <c r="H198" s="43" t="s">
        <v>8</v>
      </c>
      <c r="J198" s="36">
        <f>Table4[[#This Row],[כמות]]*Table4[[#This Row],[מחיר לקוח]]</f>
        <v>0</v>
      </c>
      <c r="K198" s="37" t="s">
        <v>363</v>
      </c>
    </row>
    <row r="199" spans="2:11" ht="15.6" customHeight="1">
      <c r="B199" s="43">
        <v>142</v>
      </c>
      <c r="C199" s="43" t="s">
        <v>366</v>
      </c>
      <c r="D199" s="43"/>
      <c r="E199" s="44">
        <v>3.5</v>
      </c>
      <c r="F199" s="44">
        <v>4.9000000000000004</v>
      </c>
      <c r="G199" s="45">
        <v>28.571429961624339</v>
      </c>
      <c r="H199" s="43" t="s">
        <v>191</v>
      </c>
      <c r="J199" s="36">
        <f>Table4[[#This Row],[כמות]]*Table4[[#This Row],[מחיר לקוח]]</f>
        <v>0</v>
      </c>
      <c r="K199" s="37" t="s">
        <v>363</v>
      </c>
    </row>
    <row r="200" spans="2:11" ht="15.6" customHeight="1">
      <c r="B200" s="43">
        <v>143</v>
      </c>
      <c r="C200" s="43" t="s">
        <v>367</v>
      </c>
      <c r="D200" s="43"/>
      <c r="E200" s="44">
        <v>3.9</v>
      </c>
      <c r="F200" s="44">
        <v>6.5</v>
      </c>
      <c r="G200" s="45">
        <v>39.999998532808746</v>
      </c>
      <c r="H200" s="43" t="s">
        <v>8</v>
      </c>
      <c r="J200" s="36">
        <f>Table4[[#This Row],[כמות]]*Table4[[#This Row],[מחיר לקוח]]</f>
        <v>0</v>
      </c>
      <c r="K200" s="37" t="s">
        <v>363</v>
      </c>
    </row>
    <row r="201" spans="2:11" ht="15.6" customHeight="1">
      <c r="B201" s="43">
        <v>156</v>
      </c>
      <c r="C201" s="43" t="s">
        <v>368</v>
      </c>
      <c r="D201" s="43"/>
      <c r="E201" s="44">
        <v>6.5</v>
      </c>
      <c r="F201" s="44">
        <v>7.8</v>
      </c>
      <c r="G201" s="45">
        <v>16.666668704432251</v>
      </c>
      <c r="H201" s="43" t="s">
        <v>8</v>
      </c>
      <c r="J201" s="36">
        <f>Table4[[#This Row],[כמות]]*Table4[[#This Row],[מחיר לקוח]]</f>
        <v>0</v>
      </c>
      <c r="K201" s="37" t="s">
        <v>363</v>
      </c>
    </row>
    <row r="202" spans="2:11" ht="15.6" customHeight="1">
      <c r="B202" s="43">
        <v>157</v>
      </c>
      <c r="C202" s="43" t="s">
        <v>369</v>
      </c>
      <c r="D202" s="43"/>
      <c r="E202" s="44">
        <v>1.5</v>
      </c>
      <c r="F202" s="44">
        <v>4</v>
      </c>
      <c r="G202" s="45">
        <v>62.5</v>
      </c>
      <c r="H202" s="43" t="s">
        <v>8</v>
      </c>
      <c r="I202" s="50">
        <v>3</v>
      </c>
      <c r="J202" s="36">
        <f>Table4[[#This Row],[כמות]]*Table4[[#This Row],[מחיר לקוח]]</f>
        <v>12</v>
      </c>
      <c r="K202" s="37" t="s">
        <v>363</v>
      </c>
    </row>
    <row r="203" spans="2:11" ht="15.6" customHeight="1">
      <c r="B203" s="43">
        <v>159</v>
      </c>
      <c r="C203" s="43" t="s">
        <v>370</v>
      </c>
      <c r="D203" s="43"/>
      <c r="E203" s="44">
        <v>2.5</v>
      </c>
      <c r="F203" s="44">
        <v>6</v>
      </c>
      <c r="G203" s="45">
        <v>58.333333333333336</v>
      </c>
      <c r="H203" s="43" t="s">
        <v>8</v>
      </c>
      <c r="J203" s="36">
        <f>Table4[[#This Row],[כמות]]*Table4[[#This Row],[מחיר לקוח]]</f>
        <v>0</v>
      </c>
      <c r="K203" s="37" t="s">
        <v>363</v>
      </c>
    </row>
    <row r="204" spans="2:11" ht="15.6" customHeight="1">
      <c r="B204" s="43">
        <v>185</v>
      </c>
      <c r="C204" s="43" t="s">
        <v>371</v>
      </c>
      <c r="D204" s="43"/>
      <c r="E204" s="44">
        <v>1.1000000000000001</v>
      </c>
      <c r="F204" s="44">
        <v>3.8</v>
      </c>
      <c r="G204" s="45">
        <v>71.052627451201829</v>
      </c>
      <c r="H204" s="43" t="s">
        <v>8</v>
      </c>
      <c r="J204" s="36">
        <f>Table4[[#This Row],[כמות]]*Table4[[#This Row],[מחיר לקוח]]</f>
        <v>0</v>
      </c>
      <c r="K204" s="37" t="s">
        <v>363</v>
      </c>
    </row>
    <row r="205" spans="2:11" ht="15.6" customHeight="1">
      <c r="B205" s="43">
        <v>309</v>
      </c>
      <c r="C205" s="43" t="s">
        <v>372</v>
      </c>
      <c r="D205" s="43"/>
      <c r="E205" s="44">
        <v>4</v>
      </c>
      <c r="F205" s="44">
        <v>6</v>
      </c>
      <c r="G205" s="45">
        <v>33.333333333333336</v>
      </c>
      <c r="H205" s="43" t="s">
        <v>8</v>
      </c>
      <c r="J205" s="36">
        <f>Table4[[#This Row],[כמות]]*Table4[[#This Row],[מחיר לקוח]]</f>
        <v>0</v>
      </c>
      <c r="K205" s="37" t="s">
        <v>363</v>
      </c>
    </row>
    <row r="206" spans="2:11" ht="15.6" customHeight="1">
      <c r="B206" s="43">
        <v>310</v>
      </c>
      <c r="C206" s="43" t="s">
        <v>373</v>
      </c>
      <c r="D206" s="43"/>
      <c r="E206" s="44">
        <v>2.7</v>
      </c>
      <c r="F206" s="44">
        <v>6.5</v>
      </c>
      <c r="G206" s="45">
        <v>58.461537727942833</v>
      </c>
      <c r="H206" s="43" t="s">
        <v>8</v>
      </c>
      <c r="J206" s="36">
        <f>Table4[[#This Row],[כמות]]*Table4[[#This Row],[מחיר לקוח]]</f>
        <v>0</v>
      </c>
      <c r="K206" s="37" t="s">
        <v>363</v>
      </c>
    </row>
    <row r="207" spans="2:11" ht="15.6" customHeight="1">
      <c r="B207" s="43">
        <v>352</v>
      </c>
      <c r="C207" s="43" t="s">
        <v>374</v>
      </c>
      <c r="D207" s="43"/>
      <c r="E207" s="44">
        <v>1.8</v>
      </c>
      <c r="F207" s="44">
        <v>2.8</v>
      </c>
      <c r="G207" s="45">
        <v>35.714286322496385</v>
      </c>
      <c r="H207" s="43" t="s">
        <v>191</v>
      </c>
      <c r="J207" s="36">
        <f>Table4[[#This Row],[כמות]]*Table4[[#This Row],[מחיר לקוח]]</f>
        <v>0</v>
      </c>
      <c r="K207" s="37" t="s">
        <v>363</v>
      </c>
    </row>
    <row r="208" spans="2:11" ht="15.6" customHeight="1">
      <c r="B208" s="43">
        <v>364</v>
      </c>
      <c r="C208" s="43" t="s">
        <v>375</v>
      </c>
      <c r="D208" s="43"/>
      <c r="E208" s="44">
        <v>1.2</v>
      </c>
      <c r="F208" s="44">
        <v>3.9</v>
      </c>
      <c r="G208" s="45">
        <v>69.23076876051563</v>
      </c>
      <c r="H208" s="43" t="s">
        <v>8</v>
      </c>
      <c r="J208" s="36">
        <f>Table4[[#This Row],[כמות]]*Table4[[#This Row],[מחיר לקוח]]</f>
        <v>0</v>
      </c>
      <c r="K208" s="37" t="s">
        <v>363</v>
      </c>
    </row>
    <row r="209" spans="2:11" ht="15.6" customHeight="1">
      <c r="B209" s="43">
        <v>371</v>
      </c>
      <c r="C209" s="43" t="s">
        <v>376</v>
      </c>
      <c r="D209" s="43"/>
      <c r="E209" s="44">
        <v>5.155354</v>
      </c>
      <c r="F209" s="44">
        <v>5.95</v>
      </c>
      <c r="G209" s="45">
        <v>13.355399808335498</v>
      </c>
      <c r="H209" s="43" t="s">
        <v>8</v>
      </c>
      <c r="J209" s="36">
        <f>Table4[[#This Row],[כמות]]*Table4[[#This Row],[מחיר לקוח]]</f>
        <v>0</v>
      </c>
      <c r="K209" s="37" t="s">
        <v>363</v>
      </c>
    </row>
    <row r="210" spans="2:11" ht="15.6" customHeight="1">
      <c r="B210" s="43">
        <v>397</v>
      </c>
      <c r="C210" s="43" t="s">
        <v>377</v>
      </c>
      <c r="D210" s="43"/>
      <c r="E210" s="44">
        <v>4</v>
      </c>
      <c r="F210" s="44">
        <v>6.8</v>
      </c>
      <c r="G210" s="45">
        <v>41.176472238190811</v>
      </c>
      <c r="H210" s="43" t="s">
        <v>8</v>
      </c>
      <c r="J210" s="36">
        <f>Table4[[#This Row],[כמות]]*Table4[[#This Row],[מחיר לקוח]]</f>
        <v>0</v>
      </c>
      <c r="K210" s="37" t="s">
        <v>363</v>
      </c>
    </row>
    <row r="211" spans="2:11" ht="15.6" customHeight="1">
      <c r="B211" s="43">
        <v>437</v>
      </c>
      <c r="C211" s="43" t="s">
        <v>378</v>
      </c>
      <c r="D211" s="43"/>
      <c r="E211" s="44">
        <v>4</v>
      </c>
      <c r="F211" s="44">
        <v>3</v>
      </c>
      <c r="G211" s="45">
        <v>-33.333333333333336</v>
      </c>
      <c r="H211" s="43" t="s">
        <v>8</v>
      </c>
      <c r="J211" s="36">
        <f>Table4[[#This Row],[כמות]]*Table4[[#This Row],[מחיר לקוח]]</f>
        <v>0</v>
      </c>
      <c r="K211" s="37" t="s">
        <v>363</v>
      </c>
    </row>
    <row r="212" spans="2:11" ht="15.6" customHeight="1">
      <c r="B212" s="43">
        <v>3</v>
      </c>
      <c r="C212" s="43" t="s">
        <v>2</v>
      </c>
      <c r="D212" s="43"/>
      <c r="E212" s="44">
        <v>3.4</v>
      </c>
      <c r="F212" s="44">
        <v>4.9000000000000004</v>
      </c>
      <c r="G212" s="45">
        <v>30.612239436475804</v>
      </c>
      <c r="H212" s="43" t="s">
        <v>8</v>
      </c>
      <c r="I212" s="50">
        <v>11</v>
      </c>
      <c r="J212" s="36">
        <f>Table4[[#This Row],[כמות]]*Table4[[#This Row],[מחיר לקוח]]</f>
        <v>53.900000000000006</v>
      </c>
      <c r="K212" s="37" t="s">
        <v>363</v>
      </c>
    </row>
    <row r="213" spans="2:11" ht="15.6" customHeight="1">
      <c r="B213" s="43">
        <v>496</v>
      </c>
      <c r="C213" s="43" t="s">
        <v>379</v>
      </c>
      <c r="D213" s="43"/>
      <c r="E213" s="44">
        <v>1.8</v>
      </c>
      <c r="F213" s="44">
        <v>2.6</v>
      </c>
      <c r="G213" s="45">
        <v>30.769230063850333</v>
      </c>
      <c r="H213" s="43" t="s">
        <v>191</v>
      </c>
      <c r="J213" s="36">
        <f>Table4[[#This Row],[כמות]]*Table4[[#This Row],[מחיר לקוח]]</f>
        <v>0</v>
      </c>
      <c r="K213" s="37" t="s">
        <v>363</v>
      </c>
    </row>
    <row r="214" spans="2:11" ht="15.6" customHeight="1">
      <c r="B214" s="43">
        <v>498</v>
      </c>
      <c r="C214" s="43" t="s">
        <v>380</v>
      </c>
      <c r="D214" s="43"/>
      <c r="E214" s="44">
        <v>3.5</v>
      </c>
      <c r="F214" s="44">
        <v>5.4</v>
      </c>
      <c r="G214" s="45">
        <v>35.185186329855981</v>
      </c>
      <c r="H214" s="43" t="s">
        <v>8</v>
      </c>
      <c r="J214" s="36">
        <f>Table4[[#This Row],[כמות]]*Table4[[#This Row],[מחיר לקוח]]</f>
        <v>0</v>
      </c>
      <c r="K214" s="37" t="s">
        <v>363</v>
      </c>
    </row>
    <row r="215" spans="2:11" ht="15.6" customHeight="1">
      <c r="B215" s="43">
        <v>599</v>
      </c>
      <c r="C215" s="43" t="s">
        <v>381</v>
      </c>
      <c r="D215" s="43"/>
      <c r="E215" s="44">
        <v>3.6</v>
      </c>
      <c r="F215" s="44">
        <v>4.6500000000000004</v>
      </c>
      <c r="G215" s="45">
        <v>22.580648800005989</v>
      </c>
      <c r="H215" s="43" t="s">
        <v>191</v>
      </c>
      <c r="J215" s="36">
        <f>Table4[[#This Row],[כמות]]*Table4[[#This Row],[מחיר לקוח]]</f>
        <v>0</v>
      </c>
      <c r="K215" s="37" t="s">
        <v>363</v>
      </c>
    </row>
    <row r="216" spans="2:11" ht="15.6" customHeight="1">
      <c r="B216" s="43">
        <v>607</v>
      </c>
      <c r="C216" s="43" t="s">
        <v>3</v>
      </c>
      <c r="D216" s="43"/>
      <c r="E216" s="44">
        <v>3.67</v>
      </c>
      <c r="F216" s="44">
        <v>6.5</v>
      </c>
      <c r="G216" s="45">
        <v>43.538460364708534</v>
      </c>
      <c r="H216" s="43" t="s">
        <v>8</v>
      </c>
      <c r="I216" s="50">
        <v>11</v>
      </c>
      <c r="J216" s="36">
        <f>Table4[[#This Row],[כמות]]*Table4[[#This Row],[מחיר לקוח]]</f>
        <v>71.5</v>
      </c>
      <c r="K216" s="37" t="s">
        <v>363</v>
      </c>
    </row>
    <row r="217" spans="2:11" ht="15.6" customHeight="1">
      <c r="B217" s="43">
        <v>612</v>
      </c>
      <c r="C217" s="43" t="s">
        <v>382</v>
      </c>
      <c r="D217" s="43"/>
      <c r="E217" s="44">
        <v>5.9</v>
      </c>
      <c r="F217" s="44">
        <v>9</v>
      </c>
      <c r="G217" s="45">
        <v>34.444443384806313</v>
      </c>
      <c r="H217" s="43" t="s">
        <v>8</v>
      </c>
      <c r="J217" s="36">
        <f>Table4[[#This Row],[כמות]]*Table4[[#This Row],[מחיר לקוח]]</f>
        <v>0</v>
      </c>
      <c r="K217" s="37" t="s">
        <v>363</v>
      </c>
    </row>
    <row r="218" spans="2:11" ht="15.6" customHeight="1">
      <c r="B218" s="43">
        <v>4025</v>
      </c>
      <c r="C218" s="43" t="s">
        <v>383</v>
      </c>
      <c r="D218" s="43"/>
      <c r="E218" s="44">
        <v>30</v>
      </c>
      <c r="F218" s="44">
        <v>35</v>
      </c>
      <c r="G218" s="45">
        <v>14.285714285714286</v>
      </c>
      <c r="H218" s="43" t="s">
        <v>8</v>
      </c>
      <c r="J218" s="36">
        <f>Table4[[#This Row],[כמות]]*Table4[[#This Row],[מחיר לקוח]]</f>
        <v>0</v>
      </c>
      <c r="K218" s="37" t="s">
        <v>363</v>
      </c>
    </row>
    <row r="219" spans="2:11" ht="15.6" customHeight="1">
      <c r="B219" s="43">
        <v>645</v>
      </c>
      <c r="C219" s="43" t="s">
        <v>384</v>
      </c>
      <c r="D219" s="43"/>
      <c r="E219" s="44">
        <v>10.5</v>
      </c>
      <c r="F219" s="44">
        <v>8</v>
      </c>
      <c r="G219" s="45">
        <v>-31.25</v>
      </c>
      <c r="H219" s="43" t="s">
        <v>8</v>
      </c>
      <c r="J219" s="36">
        <f>Table4[[#This Row],[כמות]]*Table4[[#This Row],[מחיר לקוח]]</f>
        <v>0</v>
      </c>
      <c r="K219" s="37" t="s">
        <v>363</v>
      </c>
    </row>
    <row r="220" spans="2:11" ht="15.6" customHeight="1">
      <c r="B220" s="43">
        <v>660</v>
      </c>
      <c r="C220" s="43" t="s">
        <v>385</v>
      </c>
      <c r="D220" s="43"/>
      <c r="E220" s="44">
        <v>1.8</v>
      </c>
      <c r="F220" s="44">
        <v>2.8</v>
      </c>
      <c r="G220" s="45">
        <v>35.714286322496385</v>
      </c>
      <c r="H220" s="43" t="s">
        <v>191</v>
      </c>
      <c r="J220" s="36">
        <f>Table4[[#This Row],[כמות]]*Table4[[#This Row],[מחיר לקוח]]</f>
        <v>0</v>
      </c>
      <c r="K220" s="37" t="s">
        <v>363</v>
      </c>
    </row>
    <row r="221" spans="2:11" ht="15.6" customHeight="1">
      <c r="B221" s="43">
        <v>666</v>
      </c>
      <c r="C221" s="43" t="s">
        <v>386</v>
      </c>
      <c r="D221" s="43"/>
      <c r="E221" s="44">
        <v>25</v>
      </c>
      <c r="F221" s="44">
        <v>29</v>
      </c>
      <c r="G221" s="45">
        <v>13.793103448275861</v>
      </c>
      <c r="H221" s="43" t="s">
        <v>8</v>
      </c>
      <c r="J221" s="36">
        <f>Table4[[#This Row],[כמות]]*Table4[[#This Row],[מחיר לקוח]]</f>
        <v>0</v>
      </c>
      <c r="K221" s="37" t="s">
        <v>363</v>
      </c>
    </row>
    <row r="222" spans="2:11" ht="15.6" customHeight="1">
      <c r="B222" s="43">
        <v>675</v>
      </c>
      <c r="C222" s="43" t="s">
        <v>69</v>
      </c>
      <c r="D222" s="43"/>
      <c r="E222" s="44">
        <v>3.9</v>
      </c>
      <c r="F222" s="44">
        <v>7.95</v>
      </c>
      <c r="G222" s="45">
        <v>50.943393849868144</v>
      </c>
      <c r="H222" s="43" t="s">
        <v>8</v>
      </c>
      <c r="J222" s="36">
        <f>Table4[[#This Row],[כמות]]*Table4[[#This Row],[מחיר לקוח]]</f>
        <v>0</v>
      </c>
      <c r="K222" s="37" t="s">
        <v>363</v>
      </c>
    </row>
    <row r="223" spans="2:11" ht="15.6" customHeight="1">
      <c r="B223" s="43">
        <v>680</v>
      </c>
      <c r="C223" s="43" t="s">
        <v>387</v>
      </c>
      <c r="D223" s="43"/>
      <c r="E223" s="44">
        <v>4.2</v>
      </c>
      <c r="F223" s="44">
        <v>7.5</v>
      </c>
      <c r="G223" s="45">
        <v>43.999996185302734</v>
      </c>
      <c r="H223" s="43" t="s">
        <v>8</v>
      </c>
      <c r="J223" s="36">
        <f>Table4[[#This Row],[כמות]]*Table4[[#This Row],[מחיר לקוח]]</f>
        <v>0</v>
      </c>
      <c r="K223" s="37" t="s">
        <v>363</v>
      </c>
    </row>
    <row r="224" spans="2:11" ht="15.6" customHeight="1">
      <c r="B224" s="43">
        <v>685</v>
      </c>
      <c r="C224" s="43" t="s">
        <v>388</v>
      </c>
      <c r="D224" s="43"/>
      <c r="E224" s="44">
        <v>8.5994729999999997</v>
      </c>
      <c r="F224" s="44">
        <v>8.5</v>
      </c>
      <c r="G224" s="45">
        <v>-1.1702705832088696</v>
      </c>
      <c r="H224" s="43" t="s">
        <v>8</v>
      </c>
      <c r="J224" s="36">
        <f>Table4[[#This Row],[כמות]]*Table4[[#This Row],[מחיר לקוח]]</f>
        <v>0</v>
      </c>
      <c r="K224" s="37" t="s">
        <v>363</v>
      </c>
    </row>
    <row r="225" spans="2:11" ht="15.6" customHeight="1">
      <c r="B225" s="43">
        <v>737</v>
      </c>
      <c r="C225" s="43" t="s">
        <v>389</v>
      </c>
      <c r="D225" s="43"/>
      <c r="E225" s="44">
        <v>3</v>
      </c>
      <c r="F225" s="44">
        <v>7</v>
      </c>
      <c r="G225" s="45">
        <v>57.142857142857146</v>
      </c>
      <c r="H225" s="43" t="s">
        <v>8</v>
      </c>
      <c r="J225" s="36">
        <f>Table4[[#This Row],[כמות]]*Table4[[#This Row],[מחיר לקוח]]</f>
        <v>0</v>
      </c>
      <c r="K225" s="37" t="s">
        <v>363</v>
      </c>
    </row>
    <row r="226" spans="2:11" ht="15.6" customHeight="1">
      <c r="B226" s="43">
        <v>749</v>
      </c>
      <c r="C226" s="43" t="s">
        <v>449</v>
      </c>
      <c r="D226" s="43"/>
      <c r="E226" s="44">
        <v>5.3</v>
      </c>
      <c r="F226" s="44">
        <v>6.5</v>
      </c>
      <c r="G226" s="45">
        <v>18.461535527155949</v>
      </c>
      <c r="H226" s="43" t="s">
        <v>8</v>
      </c>
      <c r="J226" s="36">
        <f>Table4[[#This Row],[כמות]]*Table4[[#This Row],[מחיר לקוח]]</f>
        <v>0</v>
      </c>
      <c r="K226" s="37" t="s">
        <v>363</v>
      </c>
    </row>
    <row r="227" spans="2:11" ht="15.6" customHeight="1">
      <c r="B227" s="43">
        <v>627</v>
      </c>
      <c r="C227" s="43" t="s">
        <v>390</v>
      </c>
      <c r="D227" s="43"/>
      <c r="E227" s="44">
        <v>6.5</v>
      </c>
      <c r="F227" s="44">
        <v>5.8</v>
      </c>
      <c r="G227" s="45">
        <v>-12.068961831817568</v>
      </c>
      <c r="H227" s="43" t="s">
        <v>8</v>
      </c>
      <c r="J227" s="36">
        <f>Table4[[#This Row],[כמות]]*Table4[[#This Row],[מחיר לקוח]]</f>
        <v>0</v>
      </c>
      <c r="K227" s="37" t="s">
        <v>363</v>
      </c>
    </row>
    <row r="228" spans="2:11" ht="15.6" customHeight="1">
      <c r="B228" s="43">
        <v>770</v>
      </c>
      <c r="C228" s="43" t="s">
        <v>391</v>
      </c>
      <c r="D228" s="43"/>
      <c r="E228" s="44">
        <v>3.5280320000000001</v>
      </c>
      <c r="F228" s="44">
        <v>3.5</v>
      </c>
      <c r="G228" s="45">
        <v>-0.80090250287737164</v>
      </c>
      <c r="H228" s="43" t="s">
        <v>8</v>
      </c>
      <c r="J228" s="36">
        <f>Table4[[#This Row],[כמות]]*Table4[[#This Row],[מחיר לקוח]]</f>
        <v>0</v>
      </c>
      <c r="K228" s="37" t="s">
        <v>363</v>
      </c>
    </row>
    <row r="229" spans="2:11" ht="15.6" customHeight="1">
      <c r="B229" s="43">
        <v>863</v>
      </c>
      <c r="C229" s="43" t="s">
        <v>392</v>
      </c>
      <c r="D229" s="43"/>
      <c r="E229" s="44">
        <v>18</v>
      </c>
      <c r="F229" s="44">
        <v>26</v>
      </c>
      <c r="G229" s="45">
        <v>30.76923076923077</v>
      </c>
      <c r="H229" s="43" t="s">
        <v>8</v>
      </c>
      <c r="J229" s="36">
        <f>Table4[[#This Row],[כמות]]*Table4[[#This Row],[מחיר לקוח]]</f>
        <v>0</v>
      </c>
      <c r="K229" s="37" t="s">
        <v>363</v>
      </c>
    </row>
    <row r="230" spans="2:11" ht="15.6" customHeight="1">
      <c r="B230" s="43">
        <v>1679</v>
      </c>
      <c r="C230" s="43" t="s">
        <v>393</v>
      </c>
      <c r="D230" s="43"/>
      <c r="E230" s="44">
        <v>4</v>
      </c>
      <c r="F230" s="44">
        <v>7</v>
      </c>
      <c r="G230" s="45">
        <v>42.857142857142854</v>
      </c>
      <c r="H230" s="43" t="s">
        <v>191</v>
      </c>
      <c r="J230" s="36">
        <f>Table4[[#This Row],[כמות]]*Table4[[#This Row],[מחיר לקוח]]</f>
        <v>0</v>
      </c>
      <c r="K230" s="37" t="s">
        <v>363</v>
      </c>
    </row>
    <row r="231" spans="2:11" ht="15.6" customHeight="1">
      <c r="B231" s="43">
        <v>2022</v>
      </c>
      <c r="C231" s="43" t="s">
        <v>394</v>
      </c>
      <c r="D231" s="43"/>
      <c r="E231" s="44">
        <v>4</v>
      </c>
      <c r="F231" s="44">
        <v>5</v>
      </c>
      <c r="G231" s="45">
        <v>20</v>
      </c>
      <c r="H231" s="43" t="s">
        <v>8</v>
      </c>
      <c r="J231" s="36">
        <f>Table4[[#This Row],[כמות]]*Table4[[#This Row],[מחיר לקוח]]</f>
        <v>0</v>
      </c>
      <c r="K231" s="37" t="s">
        <v>363</v>
      </c>
    </row>
    <row r="232" spans="2:11" ht="15.6" customHeight="1">
      <c r="B232" s="43">
        <v>957</v>
      </c>
      <c r="C232" s="43" t="s">
        <v>395</v>
      </c>
      <c r="D232" s="43"/>
      <c r="E232" s="44">
        <v>2.2000000000000002</v>
      </c>
      <c r="F232" s="44">
        <v>3.6</v>
      </c>
      <c r="G232" s="45">
        <v>38.888885945449566</v>
      </c>
      <c r="H232" s="43" t="s">
        <v>8</v>
      </c>
      <c r="J232" s="36">
        <f>Table4[[#This Row],[כמות]]*Table4[[#This Row],[מחיר לקוח]]</f>
        <v>0</v>
      </c>
      <c r="K232" s="37" t="s">
        <v>363</v>
      </c>
    </row>
    <row r="233" spans="2:11" ht="15.6" customHeight="1">
      <c r="B233" s="43">
        <v>965</v>
      </c>
      <c r="C233" s="43" t="s">
        <v>396</v>
      </c>
      <c r="D233" s="43"/>
      <c r="E233" s="44">
        <v>4.7</v>
      </c>
      <c r="F233" s="44">
        <v>4.7</v>
      </c>
      <c r="G233" s="45">
        <v>0</v>
      </c>
      <c r="H233" s="43" t="s">
        <v>8</v>
      </c>
      <c r="J233" s="36">
        <f>Table4[[#This Row],[כמות]]*Table4[[#This Row],[מחיר לקוח]]</f>
        <v>0</v>
      </c>
      <c r="K233" s="37" t="s">
        <v>363</v>
      </c>
    </row>
    <row r="234" spans="2:11" ht="15.6" customHeight="1">
      <c r="B234" s="43">
        <v>973</v>
      </c>
      <c r="C234" s="43" t="s">
        <v>397</v>
      </c>
      <c r="D234" s="43"/>
      <c r="E234" s="44">
        <v>3.4407779999999999</v>
      </c>
      <c r="F234" s="44">
        <v>4</v>
      </c>
      <c r="G234" s="45">
        <v>13.980543613433838</v>
      </c>
      <c r="H234" s="43" t="s">
        <v>8</v>
      </c>
      <c r="J234" s="36">
        <f>Table4[[#This Row],[כמות]]*Table4[[#This Row],[מחיר לקוח]]</f>
        <v>0</v>
      </c>
      <c r="K234" s="37" t="s">
        <v>363</v>
      </c>
    </row>
    <row r="235" spans="2:11" ht="15.6" customHeight="1">
      <c r="F235" s="46"/>
      <c r="J235" s="46">
        <f>SUBTOTAL(109,Table4[סה"כ])</f>
        <v>137.4</v>
      </c>
      <c r="K235" s="42"/>
    </row>
    <row r="236" spans="2:11" ht="15.6" customHeight="1">
      <c r="F236" s="46"/>
      <c r="J236" s="46"/>
      <c r="K236" s="42"/>
    </row>
    <row r="237" spans="2:11" ht="15.6" customHeight="1">
      <c r="B237" s="10" t="s">
        <v>179</v>
      </c>
      <c r="C237" s="10" t="s">
        <v>16</v>
      </c>
      <c r="D237" s="10" t="s">
        <v>180</v>
      </c>
      <c r="E237" s="10" t="s">
        <v>181</v>
      </c>
      <c r="F237" s="10" t="s">
        <v>182</v>
      </c>
      <c r="G237" s="10" t="s">
        <v>183</v>
      </c>
      <c r="H237" s="10" t="s">
        <v>184</v>
      </c>
      <c r="I237" s="50" t="s">
        <v>9</v>
      </c>
      <c r="J237" s="10" t="s">
        <v>22</v>
      </c>
      <c r="K237" s="10" t="s">
        <v>185</v>
      </c>
    </row>
    <row r="238" spans="2:11" ht="15.6" customHeight="1">
      <c r="B238" s="43">
        <v>1661</v>
      </c>
      <c r="C238" s="43" t="s">
        <v>398</v>
      </c>
      <c r="D238" s="43"/>
      <c r="E238" s="44">
        <v>8.8834</v>
      </c>
      <c r="F238" s="44">
        <v>10.9</v>
      </c>
      <c r="G238" s="45">
        <v>18.500914914924373</v>
      </c>
      <c r="H238" s="43" t="s">
        <v>8</v>
      </c>
      <c r="J238" s="36">
        <f>Table5[[#This Row],[כמות]]*Table5[[#This Row],[מחיר לקוח]]</f>
        <v>0</v>
      </c>
      <c r="K238" s="37" t="s">
        <v>399</v>
      </c>
    </row>
    <row r="239" spans="2:11" ht="15.6" customHeight="1">
      <c r="B239" s="43">
        <v>1660</v>
      </c>
      <c r="C239" s="43" t="s">
        <v>400</v>
      </c>
      <c r="D239" s="43"/>
      <c r="E239" s="44">
        <v>6.5091700000000001</v>
      </c>
      <c r="F239" s="44">
        <v>8.8000000000000007</v>
      </c>
      <c r="G239" s="45">
        <v>26.032165483297749</v>
      </c>
      <c r="H239" s="43" t="s">
        <v>8</v>
      </c>
      <c r="J239" s="36">
        <f>Table5[[#This Row],[כמות]]*Table5[[#This Row],[מחיר לקוח]]</f>
        <v>0</v>
      </c>
      <c r="K239" s="37" t="s">
        <v>399</v>
      </c>
    </row>
    <row r="240" spans="2:11" ht="15.6" customHeight="1">
      <c r="B240" s="43">
        <v>1128</v>
      </c>
      <c r="C240" s="43" t="s">
        <v>105</v>
      </c>
      <c r="D240" s="43"/>
      <c r="E240" s="44">
        <v>4.8179999999999996</v>
      </c>
      <c r="F240" s="44">
        <v>5.2</v>
      </c>
      <c r="G240" s="45">
        <v>7.3461535287326489</v>
      </c>
      <c r="H240" s="43" t="s">
        <v>191</v>
      </c>
      <c r="J240" s="36">
        <f>Table5[[#This Row],[כמות]]*Table5[[#This Row],[מחיר לקוח]]</f>
        <v>0</v>
      </c>
      <c r="K240" s="37" t="s">
        <v>399</v>
      </c>
    </row>
    <row r="241" spans="2:15" ht="15.6" customHeight="1">
      <c r="B241" s="43">
        <v>383</v>
      </c>
      <c r="C241" s="43" t="s">
        <v>401</v>
      </c>
      <c r="D241" s="43"/>
      <c r="E241" s="44">
        <v>3.9</v>
      </c>
      <c r="F241" s="44">
        <v>4.4000000000000004</v>
      </c>
      <c r="G241" s="45">
        <v>11.363636117336185</v>
      </c>
      <c r="H241" s="43" t="s">
        <v>191</v>
      </c>
      <c r="I241" s="50">
        <v>6</v>
      </c>
      <c r="J241" s="36">
        <f>Table5[[#This Row],[כמות]]*Table5[[#This Row],[מחיר לקוח]]</f>
        <v>26.400000000000002</v>
      </c>
      <c r="K241" s="37" t="s">
        <v>399</v>
      </c>
    </row>
    <row r="242" spans="2:15" ht="15.6" customHeight="1">
      <c r="B242" s="43">
        <v>1456</v>
      </c>
      <c r="C242" s="43" t="s">
        <v>402</v>
      </c>
      <c r="D242" s="43"/>
      <c r="E242" s="44">
        <v>9.42</v>
      </c>
      <c r="F242" s="44">
        <v>10.85</v>
      </c>
      <c r="G242" s="45">
        <v>13.179725851604767</v>
      </c>
      <c r="H242" s="43" t="s">
        <v>191</v>
      </c>
      <c r="J242" s="36">
        <f>Table5[[#This Row],[כמות]]*Table5[[#This Row],[מחיר לקוח]]</f>
        <v>0</v>
      </c>
      <c r="K242" s="37" t="s">
        <v>399</v>
      </c>
    </row>
    <row r="243" spans="2:15" ht="15.6" customHeight="1">
      <c r="B243" s="43">
        <v>1455</v>
      </c>
      <c r="C243" s="43" t="s">
        <v>403</v>
      </c>
      <c r="D243" s="43"/>
      <c r="E243" s="44">
        <v>10.17</v>
      </c>
      <c r="F243" s="44">
        <v>12</v>
      </c>
      <c r="G243" s="45">
        <v>15.249999364217123</v>
      </c>
      <c r="H243" s="43" t="s">
        <v>191</v>
      </c>
      <c r="J243" s="36">
        <f>Table5[[#This Row],[כמות]]*Table5[[#This Row],[מחיר לקוח]]</f>
        <v>0</v>
      </c>
      <c r="K243" s="37" t="s">
        <v>399</v>
      </c>
    </row>
    <row r="244" spans="2:15" ht="15.6" customHeight="1">
      <c r="B244" s="43">
        <v>387</v>
      </c>
      <c r="C244" s="43" t="s">
        <v>404</v>
      </c>
      <c r="D244" s="43"/>
      <c r="E244" s="44">
        <v>0.69</v>
      </c>
      <c r="F244" s="44">
        <v>0.85</v>
      </c>
      <c r="G244" s="45">
        <v>18.823531969195759</v>
      </c>
      <c r="H244" s="43" t="s">
        <v>191</v>
      </c>
      <c r="J244" s="36">
        <f>Table5[[#This Row],[כמות]]*Table5[[#This Row],[מחיר לקוח]]</f>
        <v>0</v>
      </c>
      <c r="K244" s="37" t="s">
        <v>399</v>
      </c>
    </row>
    <row r="245" spans="2:15" ht="15.6" customHeight="1">
      <c r="B245" s="43">
        <v>5669</v>
      </c>
      <c r="C245" s="43" t="s">
        <v>405</v>
      </c>
      <c r="D245" s="43"/>
      <c r="E245" s="44">
        <v>2.2000000000000002</v>
      </c>
      <c r="F245" s="44">
        <v>3.1</v>
      </c>
      <c r="G245" s="45">
        <v>29.032254343102188</v>
      </c>
      <c r="H245" s="43" t="s">
        <v>191</v>
      </c>
      <c r="J245" s="36">
        <f>Table5[[#This Row],[כמות]]*Table5[[#This Row],[מחיר לקוח]]</f>
        <v>0</v>
      </c>
      <c r="K245" s="37" t="s">
        <v>399</v>
      </c>
    </row>
    <row r="246" spans="2:15" ht="15.6" customHeight="1">
      <c r="B246" s="43">
        <v>5977</v>
      </c>
      <c r="C246" s="43" t="s">
        <v>479</v>
      </c>
      <c r="D246" s="43"/>
      <c r="E246" s="44">
        <v>0.9</v>
      </c>
      <c r="F246" s="44">
        <v>110</v>
      </c>
      <c r="G246" s="45">
        <v>99.181816794655546</v>
      </c>
      <c r="H246" s="43" t="s">
        <v>191</v>
      </c>
      <c r="J246" s="36">
        <f>Table5[[#This Row],[כמות]]*Table5[[#This Row],[מחיר לקוח]]</f>
        <v>0</v>
      </c>
      <c r="K246" s="37" t="s">
        <v>399</v>
      </c>
    </row>
    <row r="247" spans="2:15" ht="15.6" customHeight="1">
      <c r="B247" s="43">
        <v>673</v>
      </c>
      <c r="C247" s="43" t="s">
        <v>406</v>
      </c>
      <c r="D247" s="43"/>
      <c r="E247" s="44">
        <v>0.78400000000000003</v>
      </c>
      <c r="F247" s="44">
        <v>0.88</v>
      </c>
      <c r="G247" s="45">
        <v>10.909092756342307</v>
      </c>
      <c r="H247" s="43" t="s">
        <v>191</v>
      </c>
      <c r="J247" s="36">
        <f>Table5[[#This Row],[כמות]]*Table5[[#This Row],[מחיר לקוח]]</f>
        <v>0</v>
      </c>
      <c r="K247" s="37" t="s">
        <v>399</v>
      </c>
    </row>
    <row r="248" spans="2:15" ht="15.6" customHeight="1">
      <c r="B248" s="43">
        <v>753</v>
      </c>
      <c r="C248" s="43" t="s">
        <v>425</v>
      </c>
      <c r="D248" s="43"/>
      <c r="E248" s="44">
        <v>13.5</v>
      </c>
      <c r="F248" s="44">
        <v>15</v>
      </c>
      <c r="G248" s="45">
        <v>10</v>
      </c>
      <c r="H248" s="43" t="s">
        <v>8</v>
      </c>
      <c r="J248" s="36">
        <f>Table5[[#This Row],[כמות]]*Table5[[#This Row],[מחיר לקוח]]</f>
        <v>0</v>
      </c>
      <c r="K248" s="37" t="s">
        <v>399</v>
      </c>
      <c r="N248" s="10" t="s">
        <v>17</v>
      </c>
      <c r="O248" s="10">
        <v>10</v>
      </c>
    </row>
    <row r="249" spans="2:15" ht="15.6" customHeight="1">
      <c r="B249" s="43">
        <v>1256</v>
      </c>
      <c r="C249" s="43" t="s">
        <v>407</v>
      </c>
      <c r="D249" s="43"/>
      <c r="E249" s="44">
        <v>12</v>
      </c>
      <c r="F249" s="44">
        <v>17</v>
      </c>
      <c r="G249" s="45">
        <v>29.411764705882351</v>
      </c>
      <c r="H249" s="43" t="s">
        <v>8</v>
      </c>
      <c r="J249" s="36">
        <f>Table5[[#This Row],[כמות]]*Table5[[#This Row],[מחיר לקוח]]</f>
        <v>0</v>
      </c>
      <c r="K249" s="37" t="s">
        <v>399</v>
      </c>
    </row>
    <row r="250" spans="2:15" ht="15.6" customHeight="1">
      <c r="F250" s="46"/>
      <c r="J250" s="46">
        <f>SUBTOTAL(109,Table5[סה"כ])</f>
        <v>26.400000000000002</v>
      </c>
      <c r="K250" s="42"/>
      <c r="N250" s="10" t="s">
        <v>107</v>
      </c>
      <c r="O250" s="10">
        <v>2</v>
      </c>
    </row>
    <row r="251" spans="2:15" ht="15.6" customHeight="1">
      <c r="F251" s="46"/>
      <c r="J251" s="46"/>
      <c r="K251" s="42"/>
    </row>
    <row r="252" spans="2:15">
      <c r="B252" s="10" t="s">
        <v>179</v>
      </c>
      <c r="C252" s="10" t="s">
        <v>16</v>
      </c>
      <c r="D252" s="10" t="s">
        <v>180</v>
      </c>
      <c r="E252" s="10" t="s">
        <v>181</v>
      </c>
      <c r="F252" s="10" t="s">
        <v>182</v>
      </c>
      <c r="G252" s="10" t="s">
        <v>183</v>
      </c>
      <c r="H252" s="10" t="s">
        <v>184</v>
      </c>
      <c r="I252" s="50" t="s">
        <v>9</v>
      </c>
      <c r="J252" s="10" t="s">
        <v>22</v>
      </c>
      <c r="K252" s="10" t="s">
        <v>185</v>
      </c>
    </row>
    <row r="253" spans="2:15">
      <c r="B253" s="43">
        <v>3612</v>
      </c>
      <c r="C253" s="43" t="s">
        <v>408</v>
      </c>
      <c r="D253" s="43"/>
      <c r="E253" s="44">
        <v>9</v>
      </c>
      <c r="F253" s="44">
        <v>15.9</v>
      </c>
      <c r="G253" s="45">
        <v>43.396225057067511</v>
      </c>
      <c r="H253" s="43" t="s">
        <v>409</v>
      </c>
      <c r="J253" s="36">
        <f>Table6[[#This Row],[כמות]]*Table6[[#This Row],[מחיר לקוח]]</f>
        <v>0</v>
      </c>
      <c r="K253" s="37" t="s">
        <v>410</v>
      </c>
    </row>
    <row r="254" spans="2:15">
      <c r="B254" s="43">
        <v>3863</v>
      </c>
      <c r="C254" s="43" t="s">
        <v>411</v>
      </c>
      <c r="D254" s="43"/>
      <c r="E254" s="44">
        <v>10.58</v>
      </c>
      <c r="F254" s="44">
        <v>19.600000000000001</v>
      </c>
      <c r="G254" s="45">
        <v>46.020409603110927</v>
      </c>
      <c r="H254" s="43" t="s">
        <v>191</v>
      </c>
      <c r="J254" s="36">
        <f>Table6[[#This Row],[כמות]]*Table6[[#This Row],[מחיר לקוח]]</f>
        <v>0</v>
      </c>
      <c r="K254" s="37" t="s">
        <v>410</v>
      </c>
    </row>
    <row r="255" spans="2:15">
      <c r="B255" s="43">
        <v>1940</v>
      </c>
      <c r="C255" s="43" t="s">
        <v>412</v>
      </c>
      <c r="D255" s="43"/>
      <c r="E255" s="44">
        <v>10.5792</v>
      </c>
      <c r="F255" s="44">
        <v>15.1</v>
      </c>
      <c r="G255" s="45">
        <v>29.939076002030632</v>
      </c>
      <c r="H255" s="43" t="s">
        <v>191</v>
      </c>
      <c r="J255" s="36">
        <f>Table6[[#This Row],[כמות]]*Table6[[#This Row],[מחיר לקוח]]</f>
        <v>0</v>
      </c>
      <c r="K255" s="37" t="s">
        <v>410</v>
      </c>
    </row>
    <row r="256" spans="2:15">
      <c r="B256" s="43">
        <v>1925</v>
      </c>
      <c r="C256" s="43" t="s">
        <v>413</v>
      </c>
      <c r="D256" s="43"/>
      <c r="E256" s="44">
        <v>62.378999999999998</v>
      </c>
      <c r="F256" s="44">
        <v>89.1</v>
      </c>
      <c r="G256" s="45">
        <v>29.989895975644163</v>
      </c>
      <c r="H256" s="43" t="s">
        <v>191</v>
      </c>
      <c r="J256" s="36">
        <f>Table6[[#This Row],[כמות]]*Table6[[#This Row],[מחיר לקוח]]</f>
        <v>0</v>
      </c>
      <c r="K256" s="37" t="s">
        <v>410</v>
      </c>
    </row>
    <row r="257" spans="2:14">
      <c r="B257" s="43">
        <v>6138</v>
      </c>
      <c r="C257" s="43" t="s">
        <v>465</v>
      </c>
      <c r="D257" s="43"/>
      <c r="E257" s="44">
        <v>19.27</v>
      </c>
      <c r="F257" s="44">
        <v>26.5</v>
      </c>
      <c r="G257" s="45">
        <v>27.283017140514445</v>
      </c>
      <c r="H257" s="43" t="s">
        <v>231</v>
      </c>
      <c r="J257" s="36">
        <f>Table6[[#This Row],[כמות]]*Table6[[#This Row],[מחיר לקוח]]</f>
        <v>0</v>
      </c>
      <c r="K257" s="37" t="s">
        <v>410</v>
      </c>
    </row>
    <row r="258" spans="2:14">
      <c r="B258" s="43">
        <v>2943</v>
      </c>
      <c r="C258" s="43" t="s">
        <v>416</v>
      </c>
      <c r="D258" s="43"/>
      <c r="E258" s="44">
        <v>12.04129</v>
      </c>
      <c r="F258" s="44">
        <v>15.5</v>
      </c>
      <c r="G258" s="45">
        <v>22.314231626449093</v>
      </c>
      <c r="H258" s="43" t="s">
        <v>8</v>
      </c>
      <c r="J258" s="36">
        <f>Table6[[#This Row],[כמות]]*Table6[[#This Row],[מחיר לקוח]]</f>
        <v>0</v>
      </c>
      <c r="K258" s="37" t="s">
        <v>410</v>
      </c>
    </row>
    <row r="259" spans="2:14">
      <c r="B259" s="43">
        <v>380</v>
      </c>
      <c r="C259" s="43" t="s">
        <v>417</v>
      </c>
      <c r="D259" s="43"/>
      <c r="E259" s="44">
        <v>12.436</v>
      </c>
      <c r="F259" s="44">
        <v>16</v>
      </c>
      <c r="G259" s="45">
        <v>22.274994850158691</v>
      </c>
      <c r="H259" s="43" t="s">
        <v>8</v>
      </c>
      <c r="J259" s="36">
        <f>Table6[[#This Row],[כמות]]*Table6[[#This Row],[מחיר לקוח]]</f>
        <v>0</v>
      </c>
      <c r="K259" s="37" t="s">
        <v>410</v>
      </c>
      <c r="M259" s="10" t="s">
        <v>17</v>
      </c>
      <c r="N259" s="10">
        <v>10</v>
      </c>
    </row>
    <row r="260" spans="2:14">
      <c r="B260" s="43">
        <v>6137</v>
      </c>
      <c r="C260" s="43" t="s">
        <v>466</v>
      </c>
      <c r="D260" s="43"/>
      <c r="E260" s="44">
        <v>15.54</v>
      </c>
      <c r="F260" s="44">
        <v>21.5</v>
      </c>
      <c r="G260" s="45">
        <v>27.72093928137491</v>
      </c>
      <c r="H260" s="43" t="s">
        <v>231</v>
      </c>
      <c r="J260" s="36">
        <f>Table6[[#This Row],[כמות]]*Table6[[#This Row],[מחיר לקוח]]</f>
        <v>0</v>
      </c>
      <c r="K260" s="37" t="s">
        <v>410</v>
      </c>
    </row>
    <row r="261" spans="2:14">
      <c r="B261" s="43">
        <v>2942</v>
      </c>
      <c r="C261" s="43" t="s">
        <v>418</v>
      </c>
      <c r="D261" s="43"/>
      <c r="E261" s="44">
        <v>11</v>
      </c>
      <c r="F261" s="44">
        <v>15.5</v>
      </c>
      <c r="G261" s="45">
        <v>29.032245759041079</v>
      </c>
      <c r="H261" s="43" t="s">
        <v>8</v>
      </c>
      <c r="J261" s="36">
        <f>Table6[[#This Row],[כמות]]*Table6[[#This Row],[מחיר לקוח]]</f>
        <v>0</v>
      </c>
      <c r="K261" s="37" t="s">
        <v>410</v>
      </c>
      <c r="M261" s="10" t="s">
        <v>107</v>
      </c>
      <c r="N261" s="10">
        <v>2</v>
      </c>
    </row>
    <row r="262" spans="2:14">
      <c r="B262" s="43">
        <v>511</v>
      </c>
      <c r="C262" s="43" t="s">
        <v>419</v>
      </c>
      <c r="D262" s="43"/>
      <c r="E262" s="44">
        <v>8.9</v>
      </c>
      <c r="F262" s="44">
        <v>14.5</v>
      </c>
      <c r="G262" s="45">
        <v>38.620692285998118</v>
      </c>
      <c r="H262" s="43" t="s">
        <v>8</v>
      </c>
      <c r="J262" s="36">
        <f>Table6[[#This Row],[כמות]]*Table6[[#This Row],[מחיר לקוח]]</f>
        <v>0</v>
      </c>
      <c r="K262" s="37" t="s">
        <v>410</v>
      </c>
    </row>
    <row r="263" spans="2:14">
      <c r="B263" s="43">
        <v>512</v>
      </c>
      <c r="C263" s="43" t="s">
        <v>420</v>
      </c>
      <c r="D263" s="43"/>
      <c r="E263" s="44">
        <v>17.600000000000001</v>
      </c>
      <c r="F263" s="44">
        <v>24</v>
      </c>
      <c r="G263" s="45">
        <v>26.666665077209473</v>
      </c>
      <c r="H263" s="43" t="s">
        <v>8</v>
      </c>
      <c r="J263" s="36">
        <f>Table6[[#This Row],[כמות]]*Table6[[#This Row],[מחיר לקוח]]</f>
        <v>0</v>
      </c>
      <c r="K263" s="37" t="s">
        <v>410</v>
      </c>
    </row>
    <row r="264" spans="2:14">
      <c r="B264" s="43">
        <v>674</v>
      </c>
      <c r="C264" s="43" t="s">
        <v>421</v>
      </c>
      <c r="D264" s="43"/>
      <c r="E264" s="44">
        <v>8.5</v>
      </c>
      <c r="F264" s="44">
        <v>13</v>
      </c>
      <c r="G264" s="45">
        <v>34.615384615384613</v>
      </c>
      <c r="H264" s="43" t="s">
        <v>8</v>
      </c>
      <c r="J264" s="36">
        <f>Table6[[#This Row],[כמות]]*Table6[[#This Row],[מחיר לקוח]]</f>
        <v>0</v>
      </c>
      <c r="K264" s="37" t="s">
        <v>410</v>
      </c>
    </row>
    <row r="265" spans="2:14">
      <c r="B265" s="43">
        <v>726</v>
      </c>
      <c r="C265" s="43" t="s">
        <v>422</v>
      </c>
      <c r="D265" s="43"/>
      <c r="E265" s="44">
        <v>6.4559990000000003</v>
      </c>
      <c r="F265" s="44">
        <v>8</v>
      </c>
      <c r="G265" s="45">
        <v>19.300007820129395</v>
      </c>
      <c r="H265" s="43" t="s">
        <v>8</v>
      </c>
      <c r="J265" s="36">
        <f>Table6[[#This Row],[כמות]]*Table6[[#This Row],[מחיר לקוח]]</f>
        <v>0</v>
      </c>
      <c r="K265" s="37" t="s">
        <v>410</v>
      </c>
    </row>
    <row r="266" spans="2:14">
      <c r="B266" s="43">
        <v>4679</v>
      </c>
      <c r="C266" s="43" t="s">
        <v>423</v>
      </c>
      <c r="D266" s="43"/>
      <c r="E266" s="44">
        <v>18</v>
      </c>
      <c r="F266" s="44">
        <v>22</v>
      </c>
      <c r="G266" s="45">
        <v>18.181818181818183</v>
      </c>
      <c r="H266" s="43" t="s">
        <v>8</v>
      </c>
      <c r="J266" s="36">
        <f>Table6[[#This Row],[כמות]]*Table6[[#This Row],[מחיר לקוח]]</f>
        <v>0</v>
      </c>
      <c r="K266" s="37" t="s">
        <v>410</v>
      </c>
    </row>
    <row r="267" spans="2:14">
      <c r="B267" s="43">
        <v>4737</v>
      </c>
      <c r="C267" s="43" t="s">
        <v>424</v>
      </c>
      <c r="D267" s="43"/>
      <c r="E267" s="44">
        <v>14.07</v>
      </c>
      <c r="F267" s="44">
        <v>19.5</v>
      </c>
      <c r="G267" s="45">
        <v>27.846150520520332</v>
      </c>
      <c r="H267" s="43" t="s">
        <v>8</v>
      </c>
      <c r="J267" s="36">
        <f>Table6[[#This Row],[כמות]]*Table6[[#This Row],[מחיר לקוח]]</f>
        <v>0</v>
      </c>
      <c r="K267" s="37" t="s">
        <v>410</v>
      </c>
    </row>
    <row r="268" spans="2:14">
      <c r="B268" s="43">
        <v>5118</v>
      </c>
      <c r="C268" s="43" t="s">
        <v>426</v>
      </c>
      <c r="D268" s="43"/>
      <c r="E268" s="44">
        <v>20.5</v>
      </c>
      <c r="F268" s="44">
        <v>35</v>
      </c>
      <c r="G268" s="45">
        <v>41.428571428571431</v>
      </c>
      <c r="H268" s="43" t="s">
        <v>8</v>
      </c>
      <c r="J268" s="36">
        <f>Table6[[#This Row],[כמות]]*Table6[[#This Row],[מחיר לקוח]]</f>
        <v>0</v>
      </c>
      <c r="K268" s="37" t="s">
        <v>410</v>
      </c>
    </row>
    <row r="269" spans="2:14">
      <c r="B269" s="43">
        <v>3989</v>
      </c>
      <c r="C269" s="43" t="s">
        <v>427</v>
      </c>
      <c r="D269" s="43"/>
      <c r="E269" s="44">
        <v>17.502880000000001</v>
      </c>
      <c r="F269" s="44">
        <v>24</v>
      </c>
      <c r="G269" s="45">
        <v>27.071324984232586</v>
      </c>
      <c r="H269" s="43" t="s">
        <v>191</v>
      </c>
      <c r="J269" s="36">
        <f>Table6[[#This Row],[כמות]]*Table6[[#This Row],[מחיר לקוח]]</f>
        <v>0</v>
      </c>
      <c r="K269" s="37" t="s">
        <v>410</v>
      </c>
    </row>
    <row r="270" spans="2:14">
      <c r="B270" s="43">
        <v>5632</v>
      </c>
      <c r="C270" s="43" t="s">
        <v>428</v>
      </c>
      <c r="D270" s="43"/>
      <c r="E270" s="44">
        <v>19.499479999999998</v>
      </c>
      <c r="F270" s="44">
        <v>23</v>
      </c>
      <c r="G270" s="45">
        <v>15.219655244246773</v>
      </c>
      <c r="H270" s="43" t="s">
        <v>8</v>
      </c>
      <c r="I270" s="50">
        <v>10</v>
      </c>
      <c r="J270" s="36">
        <f>Table6[[#This Row],[כמות]]*Table6[[#This Row],[מחיר לקוח]]</f>
        <v>230</v>
      </c>
      <c r="K270" s="37" t="s">
        <v>410</v>
      </c>
    </row>
    <row r="271" spans="2:14">
      <c r="B271" s="43">
        <v>3086</v>
      </c>
      <c r="C271" s="43" t="s">
        <v>429</v>
      </c>
      <c r="D271" s="43"/>
      <c r="E271" s="44">
        <v>12.50001</v>
      </c>
      <c r="F271" s="44">
        <v>16</v>
      </c>
      <c r="G271" s="45">
        <v>21.874940395355225</v>
      </c>
      <c r="H271" s="43" t="s">
        <v>8</v>
      </c>
      <c r="J271" s="36">
        <f>Table6[[#This Row],[כמות]]*Table6[[#This Row],[מחיר לקוח]]</f>
        <v>0</v>
      </c>
      <c r="K271" s="37" t="s">
        <v>410</v>
      </c>
    </row>
    <row r="272" spans="2:14">
      <c r="B272" s="43">
        <v>3036</v>
      </c>
      <c r="C272" s="43" t="s">
        <v>430</v>
      </c>
      <c r="D272" s="43"/>
      <c r="E272" s="44">
        <v>12.5</v>
      </c>
      <c r="F272" s="44">
        <v>18</v>
      </c>
      <c r="G272" s="45">
        <v>30.555555555555557</v>
      </c>
      <c r="H272" s="43" t="s">
        <v>8</v>
      </c>
      <c r="I272" s="50">
        <v>2</v>
      </c>
      <c r="J272" s="36">
        <f>Table6[[#This Row],[כמות]]*Table6[[#This Row],[מחיר לקוח]]</f>
        <v>36</v>
      </c>
      <c r="K272" s="37" t="s">
        <v>410</v>
      </c>
    </row>
    <row r="273" spans="2:11">
      <c r="B273" s="43">
        <v>2966</v>
      </c>
      <c r="C273" s="43" t="s">
        <v>431</v>
      </c>
      <c r="D273" s="43"/>
      <c r="E273" s="44">
        <v>15.36</v>
      </c>
      <c r="F273" s="44">
        <v>21</v>
      </c>
      <c r="G273" s="45">
        <v>26.857144492013113</v>
      </c>
      <c r="H273" s="43" t="s">
        <v>191</v>
      </c>
      <c r="J273" s="36">
        <f>Table6[[#This Row],[כמות]]*Table6[[#This Row],[מחיר לקוח]]</f>
        <v>0</v>
      </c>
      <c r="K273" s="37" t="s">
        <v>410</v>
      </c>
    </row>
    <row r="274" spans="2:11">
      <c r="B274" s="43">
        <v>2055</v>
      </c>
      <c r="C274" s="43" t="s">
        <v>432</v>
      </c>
      <c r="D274" s="43"/>
      <c r="E274" s="44">
        <v>4.1776169999999997</v>
      </c>
      <c r="F274" s="44">
        <v>6.5</v>
      </c>
      <c r="G274" s="45">
        <v>35.728968106783356</v>
      </c>
      <c r="H274" s="43" t="s">
        <v>191</v>
      </c>
      <c r="J274" s="36">
        <f>Table6[[#This Row],[כמות]]*Table6[[#This Row],[מחיר לקוח]]</f>
        <v>0</v>
      </c>
      <c r="K274" s="37" t="s">
        <v>410</v>
      </c>
    </row>
    <row r="275" spans="2:11">
      <c r="B275" s="43">
        <v>5592</v>
      </c>
      <c r="C275" s="43" t="s">
        <v>414</v>
      </c>
      <c r="D275" s="43"/>
      <c r="E275" s="44">
        <v>18.063009999999998</v>
      </c>
      <c r="F275" s="44">
        <v>22</v>
      </c>
      <c r="G275" s="45">
        <v>17.895421114834871</v>
      </c>
      <c r="H275" s="43" t="s">
        <v>8</v>
      </c>
      <c r="J275" s="36">
        <f>Table6[[#This Row],[כמות]]*Table6[[#This Row],[מחיר לקוח]]</f>
        <v>0</v>
      </c>
      <c r="K275" s="37" t="s">
        <v>410</v>
      </c>
    </row>
    <row r="276" spans="2:11">
      <c r="B276" s="43">
        <v>4672</v>
      </c>
      <c r="C276" s="43" t="s">
        <v>415</v>
      </c>
      <c r="D276" s="43"/>
      <c r="E276" s="44">
        <v>18</v>
      </c>
      <c r="F276" s="44">
        <v>22</v>
      </c>
      <c r="G276" s="45">
        <v>18.181818181818183</v>
      </c>
      <c r="H276" s="43" t="s">
        <v>8</v>
      </c>
      <c r="J276" s="36">
        <f>Table6[[#This Row],[כמות]]*Table6[[#This Row],[מחיר לקוח]]</f>
        <v>0</v>
      </c>
      <c r="K276" s="37" t="s">
        <v>410</v>
      </c>
    </row>
    <row r="277" spans="2:11">
      <c r="F277" s="46"/>
      <c r="J277" s="46">
        <f>SUBTOTAL(109,Table6[סה"כ])</f>
        <v>266</v>
      </c>
      <c r="K277" s="42"/>
    </row>
    <row r="278" spans="2:11">
      <c r="F278" s="46"/>
      <c r="J278" s="46"/>
      <c r="K278" s="42"/>
    </row>
    <row r="279" spans="2:11">
      <c r="B279" s="10" t="s">
        <v>179</v>
      </c>
      <c r="C279" s="10" t="s">
        <v>16</v>
      </c>
      <c r="D279" s="10" t="s">
        <v>180</v>
      </c>
      <c r="E279" s="10" t="s">
        <v>181</v>
      </c>
      <c r="F279" s="10" t="s">
        <v>182</v>
      </c>
      <c r="G279" s="10" t="s">
        <v>183</v>
      </c>
      <c r="H279" s="10" t="s">
        <v>184</v>
      </c>
      <c r="I279" s="50" t="s">
        <v>9</v>
      </c>
      <c r="J279" s="10" t="s">
        <v>22</v>
      </c>
      <c r="K279" s="10" t="s">
        <v>185</v>
      </c>
    </row>
    <row r="280" spans="2:11">
      <c r="B280" s="43">
        <v>6149</v>
      </c>
      <c r="C280" s="43" t="s">
        <v>481</v>
      </c>
      <c r="D280" s="43"/>
      <c r="E280" s="44">
        <v>19</v>
      </c>
      <c r="F280" s="44">
        <v>23.8</v>
      </c>
      <c r="G280" s="45">
        <v>20.168064667775919</v>
      </c>
      <c r="H280" s="43" t="s">
        <v>191</v>
      </c>
      <c r="J280" s="36">
        <f>Table710[[#This Row],[כמות]]*Table710[[#This Row],[מחיר לקוח]]</f>
        <v>0</v>
      </c>
      <c r="K280" s="37" t="s">
        <v>484</v>
      </c>
    </row>
    <row r="281" spans="2:11">
      <c r="B281" s="43">
        <v>6147</v>
      </c>
      <c r="C281" s="43" t="s">
        <v>482</v>
      </c>
      <c r="D281" s="43"/>
      <c r="E281" s="44">
        <v>19</v>
      </c>
      <c r="F281" s="44">
        <v>23.8</v>
      </c>
      <c r="G281" s="45">
        <v>20.168064667775919</v>
      </c>
      <c r="H281" s="43" t="s">
        <v>191</v>
      </c>
      <c r="J281" s="36">
        <f>Table710[[#This Row],[כמות]]*Table710[[#This Row],[מחיר לקוח]]</f>
        <v>0</v>
      </c>
      <c r="K281" s="37" t="s">
        <v>484</v>
      </c>
    </row>
    <row r="282" spans="2:11">
      <c r="B282" s="43">
        <v>6148</v>
      </c>
      <c r="C282" s="43" t="s">
        <v>483</v>
      </c>
      <c r="D282" s="43"/>
      <c r="E282" s="44">
        <v>20.5</v>
      </c>
      <c r="F282" s="44">
        <v>25.7</v>
      </c>
      <c r="G282" s="45">
        <v>20.23346540299752</v>
      </c>
      <c r="H282" s="43" t="s">
        <v>191</v>
      </c>
      <c r="J282" s="36">
        <f>Table710[[#This Row],[כמות]]*Table710[[#This Row],[מחיר לקוח]]</f>
        <v>0</v>
      </c>
      <c r="K282" s="37" t="s">
        <v>484</v>
      </c>
    </row>
    <row r="283" spans="2:11">
      <c r="F283" s="46"/>
      <c r="J283" s="46">
        <f>SUBTOTAL(109,Table710[סה"כ])</f>
        <v>0</v>
      </c>
      <c r="K283" s="42"/>
    </row>
    <row r="285" spans="2:11">
      <c r="B285" s="10" t="s">
        <v>179</v>
      </c>
      <c r="C285" s="10" t="s">
        <v>16</v>
      </c>
      <c r="D285" s="10" t="s">
        <v>180</v>
      </c>
      <c r="E285" s="10" t="s">
        <v>181</v>
      </c>
      <c r="F285" s="10" t="s">
        <v>182</v>
      </c>
      <c r="G285" s="10" t="s">
        <v>183</v>
      </c>
      <c r="H285" s="10" t="s">
        <v>184</v>
      </c>
      <c r="I285" s="50" t="s">
        <v>9</v>
      </c>
      <c r="J285" s="10" t="s">
        <v>22</v>
      </c>
      <c r="K285" s="10" t="s">
        <v>185</v>
      </c>
    </row>
    <row r="286" spans="2:11">
      <c r="B286" s="43">
        <v>99999</v>
      </c>
      <c r="C286" s="43" t="s">
        <v>433</v>
      </c>
      <c r="D286" s="43"/>
      <c r="E286" s="44">
        <v>15.1</v>
      </c>
      <c r="F286" s="44">
        <v>15.1</v>
      </c>
      <c r="G286" s="45">
        <v>6.3157237901567931E-6</v>
      </c>
      <c r="H286" s="43" t="s">
        <v>191</v>
      </c>
      <c r="J286" s="36">
        <f>Table7[[#This Row],[כמות]]*Table7[[#This Row],[מחיר לקוח]]</f>
        <v>0</v>
      </c>
      <c r="K286" s="37" t="s">
        <v>434</v>
      </c>
    </row>
    <row r="287" spans="2:11">
      <c r="B287" s="43">
        <v>5841</v>
      </c>
      <c r="C287" s="43" t="s">
        <v>435</v>
      </c>
      <c r="D287" s="43"/>
      <c r="E287" s="44">
        <v>39</v>
      </c>
      <c r="F287" s="44">
        <v>55</v>
      </c>
      <c r="G287" s="45">
        <v>29.09090909090909</v>
      </c>
      <c r="H287" s="43" t="s">
        <v>240</v>
      </c>
      <c r="J287" s="36">
        <f>Table7[[#This Row],[כמות]]*Table7[[#This Row],[מחיר לקוח]]</f>
        <v>0</v>
      </c>
      <c r="K287" s="37" t="s">
        <v>434</v>
      </c>
    </row>
    <row r="288" spans="2:11">
      <c r="F288" s="46"/>
      <c r="J288" s="46">
        <f>SUBTOTAL(109,Table7[סה"כ])</f>
        <v>0</v>
      </c>
      <c r="K288" s="42"/>
    </row>
  </sheetData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K51"/>
  <sheetViews>
    <sheetView rightToLeft="1" topLeftCell="A25" zoomScale="85" zoomScaleNormal="85" workbookViewId="0">
      <selection activeCell="B2" sqref="B2:J49"/>
    </sheetView>
  </sheetViews>
  <sheetFormatPr defaultRowHeight="13.8"/>
  <cols>
    <col min="5" max="5" width="24.3984375" bestFit="1" customWidth="1"/>
    <col min="6" max="6" width="8.3984375" style="5" customWidth="1"/>
    <col min="7" max="7" width="14.59765625" style="5" customWidth="1"/>
    <col min="8" max="8" width="16.09765625" style="5" bestFit="1" customWidth="1"/>
    <col min="9" max="9" width="13.19921875" style="5" customWidth="1"/>
    <col min="10" max="10" width="24.3984375" bestFit="1" customWidth="1"/>
    <col min="11" max="11" width="8.3984375" customWidth="1"/>
  </cols>
  <sheetData>
    <row r="2" spans="2:10" ht="14.4" thickBot="1">
      <c r="B2" t="s">
        <v>495</v>
      </c>
      <c r="C2">
        <v>1.17</v>
      </c>
    </row>
    <row r="3" spans="2:10">
      <c r="E3" s="67" t="s">
        <v>487</v>
      </c>
      <c r="F3" s="68" t="s">
        <v>488</v>
      </c>
      <c r="G3" s="69" t="s">
        <v>491</v>
      </c>
      <c r="H3" s="69" t="s">
        <v>492</v>
      </c>
      <c r="I3" s="70" t="s">
        <v>493</v>
      </c>
      <c r="J3" s="67" t="s">
        <v>490</v>
      </c>
    </row>
    <row r="4" spans="2:10">
      <c r="E4" s="67" t="str">
        <f>קיטים!C9</f>
        <v>לחמניה 75 ג' דוידוביץ</v>
      </c>
      <c r="F4" s="68">
        <f>קיטים!EI9</f>
        <v>0</v>
      </c>
      <c r="G4" s="73">
        <v>0.85</v>
      </c>
      <c r="H4" s="5">
        <v>1</v>
      </c>
      <c r="I4" s="66">
        <f>(G4/H4)*F4</f>
        <v>0</v>
      </c>
      <c r="J4" s="66">
        <f>טבלה19[[#This Row],[מחיר לארוחה]]*$C$2</f>
        <v>0</v>
      </c>
    </row>
    <row r="5" spans="2:10">
      <c r="E5" s="67" t="str">
        <f>קיטים!C10</f>
        <v>קוטג' 250 ג'</v>
      </c>
      <c r="F5" s="68">
        <f>קיטים!EI10</f>
        <v>0</v>
      </c>
      <c r="G5" s="73">
        <v>4.7</v>
      </c>
      <c r="H5" s="5">
        <v>1</v>
      </c>
      <c r="I5" s="76">
        <f>(G5/H5)*F5</f>
        <v>0</v>
      </c>
      <c r="J5" s="76">
        <f>טבלה19[[#This Row],[מחיר לארוחה]]*$C$2</f>
        <v>0</v>
      </c>
    </row>
    <row r="6" spans="2:10">
      <c r="E6" s="67" t="str">
        <f>קיטים!C11</f>
        <v>שמנת של פעם</v>
      </c>
      <c r="F6" s="68">
        <f>קיטים!EI11</f>
        <v>0</v>
      </c>
      <c r="G6" s="73">
        <v>3</v>
      </c>
      <c r="H6" s="5">
        <v>1</v>
      </c>
      <c r="I6" s="76">
        <f t="shared" ref="I6:I23" si="0">(G6/H6)*F6</f>
        <v>0</v>
      </c>
      <c r="J6" s="76">
        <f>טבלה19[[#This Row],[מחיר לארוחה]]*$C$2</f>
        <v>0</v>
      </c>
    </row>
    <row r="7" spans="2:10">
      <c r="E7" s="67" t="str">
        <f>קיטים!C12</f>
        <v>שוקו</v>
      </c>
      <c r="F7" s="68">
        <f>קיטים!EI12</f>
        <v>0</v>
      </c>
      <c r="G7" s="73">
        <v>1.7</v>
      </c>
      <c r="H7" s="5">
        <v>1</v>
      </c>
      <c r="I7" s="76">
        <f t="shared" si="0"/>
        <v>0</v>
      </c>
      <c r="J7" s="76">
        <f>טבלה19[[#This Row],[מחיר לארוחה]]*$C$2</f>
        <v>0</v>
      </c>
    </row>
    <row r="8" spans="2:10">
      <c r="E8" s="67" t="str">
        <f>קיטים!C13</f>
        <v>מעדן סויה (שוקו\וניל)</v>
      </c>
      <c r="F8" s="68">
        <f>קיטים!EI13</f>
        <v>0</v>
      </c>
      <c r="G8" s="73">
        <v>6</v>
      </c>
      <c r="H8" s="5">
        <v>2</v>
      </c>
      <c r="I8" s="76">
        <f>(G8/H8)*F8</f>
        <v>0</v>
      </c>
      <c r="J8" s="76">
        <f>טבלה19[[#This Row],[מחיר לארוחה]]*$C$2</f>
        <v>0</v>
      </c>
    </row>
    <row r="9" spans="2:10">
      <c r="E9" s="67" t="str">
        <f>קיטים!C14</f>
        <v>טחינה 30 גרם</v>
      </c>
      <c r="F9" s="68">
        <f>קיטים!EI14</f>
        <v>0</v>
      </c>
      <c r="G9" s="74"/>
      <c r="I9" s="76"/>
      <c r="J9" s="76"/>
    </row>
    <row r="10" spans="2:10">
      <c r="E10" s="67" t="str">
        <f>קיטים!C15</f>
        <v>זיתים 330 ג'</v>
      </c>
      <c r="F10" s="68">
        <f>קיטים!EI15</f>
        <v>0</v>
      </c>
      <c r="G10" s="73">
        <v>5</v>
      </c>
      <c r="H10" s="5">
        <v>1</v>
      </c>
      <c r="I10" s="76">
        <f t="shared" si="0"/>
        <v>0</v>
      </c>
      <c r="J10" s="76">
        <f>טבלה19[[#This Row],[מחיר לארוחה]]*$C$2</f>
        <v>0</v>
      </c>
    </row>
    <row r="11" spans="2:10">
      <c r="E11" s="67" t="str">
        <f>קיטים!C16</f>
        <v>חלווה</v>
      </c>
      <c r="F11" s="68">
        <f>קיטים!EI16</f>
        <v>0</v>
      </c>
      <c r="G11" s="73">
        <v>25.6</v>
      </c>
      <c r="H11" s="5">
        <v>25</v>
      </c>
      <c r="I11" s="76">
        <f t="shared" si="0"/>
        <v>0</v>
      </c>
      <c r="J11" s="76">
        <f>טבלה19[[#This Row],[מחיר לארוחה]]*$C$2</f>
        <v>0</v>
      </c>
    </row>
    <row r="12" spans="2:10">
      <c r="E12" s="67" t="str">
        <f>קיטים!C17</f>
        <v>שוקולד השחר (חלבי) 500ג'</v>
      </c>
      <c r="F12" s="68">
        <f>קיטים!EI17</f>
        <v>0</v>
      </c>
      <c r="G12" s="73">
        <v>9.5</v>
      </c>
      <c r="H12" s="5">
        <v>1</v>
      </c>
      <c r="I12" s="76">
        <f t="shared" si="0"/>
        <v>0</v>
      </c>
      <c r="J12" s="76">
        <f>טבלה19[[#This Row],[מחיר לארוחה]]*$C$2</f>
        <v>0</v>
      </c>
    </row>
    <row r="13" spans="2:10">
      <c r="E13" s="67" t="str">
        <f>קיטים!C18</f>
        <v>1יח שוקולד פרווה אישי</v>
      </c>
      <c r="F13" s="68">
        <f>קיטים!EI18</f>
        <v>0</v>
      </c>
      <c r="G13" s="74">
        <v>35</v>
      </c>
      <c r="H13" s="5">
        <v>120</v>
      </c>
      <c r="I13" s="76">
        <f t="shared" si="0"/>
        <v>0</v>
      </c>
      <c r="J13" s="76">
        <f>טבלה19[[#This Row],[מחיר לארוחה]]*$C$2</f>
        <v>0</v>
      </c>
    </row>
    <row r="14" spans="2:10">
      <c r="E14" s="67" t="str">
        <f>קיטים!C19</f>
        <v>חב' פריכיות (4יח')</v>
      </c>
      <c r="F14" s="68">
        <f>קיטים!EI19</f>
        <v>0</v>
      </c>
      <c r="G14" s="74">
        <v>5.5</v>
      </c>
      <c r="H14" s="5">
        <v>3</v>
      </c>
      <c r="I14" s="76">
        <f t="shared" si="0"/>
        <v>0</v>
      </c>
      <c r="J14" s="76">
        <f>טבלה19[[#This Row],[מחיר לארוחה]]*$C$2</f>
        <v>0</v>
      </c>
    </row>
    <row r="15" spans="2:10">
      <c r="E15" s="67" t="str">
        <f>קיטים!C20</f>
        <v>עגבניה יח</v>
      </c>
      <c r="F15" s="68">
        <f>קיטים!EI20</f>
        <v>0</v>
      </c>
      <c r="G15" s="73">
        <v>6.5</v>
      </c>
      <c r="H15" s="5">
        <v>7</v>
      </c>
      <c r="I15" s="76">
        <f t="shared" si="0"/>
        <v>0</v>
      </c>
      <c r="J15" s="76">
        <f>טבלה19[[#This Row],[מחיר לארוחה]]</f>
        <v>0</v>
      </c>
    </row>
    <row r="16" spans="2:10">
      <c r="E16" s="67" t="str">
        <f>קיטים!C21</f>
        <v>מלפפון יח</v>
      </c>
      <c r="F16" s="68">
        <f>קיטים!EI21</f>
        <v>0</v>
      </c>
      <c r="G16" s="73">
        <v>4.9000000000000004</v>
      </c>
      <c r="H16" s="5">
        <v>9</v>
      </c>
      <c r="I16" s="76">
        <f t="shared" si="0"/>
        <v>0</v>
      </c>
      <c r="J16" s="76">
        <f>טבלה19[[#This Row],[מחיר לארוחה]]</f>
        <v>0</v>
      </c>
    </row>
    <row r="17" spans="5:11">
      <c r="E17" s="67" t="s">
        <v>489</v>
      </c>
      <c r="F17" s="68">
        <f>קיטים!EI22</f>
        <v>0</v>
      </c>
      <c r="G17" s="75">
        <v>9.9</v>
      </c>
      <c r="H17" s="5">
        <v>1000</v>
      </c>
      <c r="I17" s="76">
        <f t="shared" si="0"/>
        <v>0</v>
      </c>
      <c r="J17" s="76">
        <f>טבלה19[[#This Row],[מחיר לארוחה]]*$C$2</f>
        <v>0</v>
      </c>
    </row>
    <row r="18" spans="5:11">
      <c r="E18" s="67" t="s">
        <v>494</v>
      </c>
      <c r="F18" s="68">
        <f>F17</f>
        <v>0</v>
      </c>
      <c r="G18" s="75">
        <v>18</v>
      </c>
      <c r="H18" s="5">
        <v>1000</v>
      </c>
      <c r="I18" s="76">
        <f t="shared" si="0"/>
        <v>0</v>
      </c>
      <c r="J18" s="76">
        <f>טבלה19[[#This Row],[מחיר לארוחה]]*$C$2</f>
        <v>0</v>
      </c>
    </row>
    <row r="19" spans="5:11">
      <c r="E19" s="67" t="str">
        <f>קיטים!C23</f>
        <v>צלחת חד פעמית קר</v>
      </c>
      <c r="F19" s="68">
        <f>קיטים!EI23</f>
        <v>0</v>
      </c>
      <c r="G19" s="71">
        <v>165</v>
      </c>
      <c r="H19" s="5">
        <v>1800</v>
      </c>
      <c r="I19" s="76">
        <f t="shared" si="0"/>
        <v>0</v>
      </c>
      <c r="J19" s="76">
        <f>טבלה19[[#This Row],[מחיר לארוחה]]*$C$2</f>
        <v>0</v>
      </c>
    </row>
    <row r="20" spans="5:11">
      <c r="E20" s="67" t="str">
        <f>קיטים!C24</f>
        <v xml:space="preserve">מזלג חד פעמי </v>
      </c>
      <c r="F20" s="68">
        <f>קיטים!EI24</f>
        <v>0</v>
      </c>
      <c r="G20" s="71">
        <v>104</v>
      </c>
      <c r="H20" s="5">
        <v>4000</v>
      </c>
      <c r="I20" s="76">
        <f>(G20/H20)*F20</f>
        <v>0</v>
      </c>
      <c r="J20" s="76">
        <f>טבלה19[[#This Row],[מחיר לארוחה]]*$C$2</f>
        <v>0</v>
      </c>
    </row>
    <row r="21" spans="5:11">
      <c r="E21" s="67" t="str">
        <f>קיטים!C25</f>
        <v xml:space="preserve">סכין חד פעמי </v>
      </c>
      <c r="F21" s="68">
        <f>קיטים!EI25</f>
        <v>0</v>
      </c>
      <c r="G21" s="71">
        <v>120</v>
      </c>
      <c r="H21" s="5">
        <v>4000</v>
      </c>
      <c r="I21" s="76">
        <f t="shared" si="0"/>
        <v>0</v>
      </c>
      <c r="J21" s="76">
        <f>טבלה19[[#This Row],[מחיר לארוחה]]*$C$2</f>
        <v>0</v>
      </c>
    </row>
    <row r="22" spans="5:11">
      <c r="E22" s="67" t="str">
        <f>קיטים!C26</f>
        <v xml:space="preserve">שקיות גופייה </v>
      </c>
      <c r="F22" s="68">
        <f>קיטים!EI26</f>
        <v>0</v>
      </c>
      <c r="G22" s="71">
        <v>180</v>
      </c>
      <c r="H22" s="5">
        <v>2000</v>
      </c>
      <c r="I22" s="76">
        <f t="shared" si="0"/>
        <v>0</v>
      </c>
      <c r="J22" s="76">
        <f>טבלה19[[#This Row],[מחיר לארוחה]]*$C$2</f>
        <v>0</v>
      </c>
    </row>
    <row r="23" spans="5:11" ht="14.4" thickBot="1">
      <c r="E23" s="67" t="str">
        <f>קיטים!C27</f>
        <v xml:space="preserve">שקית זבל </v>
      </c>
      <c r="F23" s="68">
        <f>קיטים!EI27</f>
        <v>0</v>
      </c>
      <c r="G23" s="72">
        <v>155</v>
      </c>
      <c r="H23" s="5">
        <v>400</v>
      </c>
      <c r="I23" s="76">
        <f t="shared" si="0"/>
        <v>0</v>
      </c>
      <c r="J23" s="76">
        <f>טבלה19[[#This Row],[מחיר לארוחה]]*$C$2</f>
        <v>0</v>
      </c>
    </row>
    <row r="24" spans="5:11" ht="14.4" thickBot="1">
      <c r="H24" s="80" t="s">
        <v>496</v>
      </c>
      <c r="I24" s="77">
        <f>SUM(טבלה19[מחיר לארוחה])</f>
        <v>0</v>
      </c>
      <c r="J24" s="77">
        <f>SUM(טבלה19[עמודה3])</f>
        <v>0</v>
      </c>
      <c r="K24" s="78"/>
    </row>
    <row r="25" spans="5:11" ht="14.4" thickBot="1">
      <c r="H25" s="80" t="s">
        <v>497</v>
      </c>
      <c r="I25" s="77" t="e">
        <f>I24/קיטים!EI4</f>
        <v>#DIV/0!</v>
      </c>
      <c r="J25" s="77" t="e">
        <f>J24/קיטים!EI4</f>
        <v>#DIV/0!</v>
      </c>
      <c r="K25" s="79"/>
    </row>
    <row r="26" spans="5:11" ht="14.4" thickBot="1"/>
    <row r="27" spans="5:11">
      <c r="E27" s="67" t="s">
        <v>487</v>
      </c>
      <c r="F27" s="68" t="s">
        <v>488</v>
      </c>
      <c r="G27" s="91" t="s">
        <v>490</v>
      </c>
      <c r="H27" s="81" t="s">
        <v>492</v>
      </c>
      <c r="I27" s="82" t="s">
        <v>493</v>
      </c>
      <c r="J27" s="67" t="s">
        <v>498</v>
      </c>
    </row>
    <row r="28" spans="5:11">
      <c r="E28" s="67" t="str">
        <f>קיטים!C29</f>
        <v xml:space="preserve">לחם פרוס </v>
      </c>
      <c r="F28" s="68">
        <f>קיטים!EI29</f>
        <v>0</v>
      </c>
      <c r="G28" s="89">
        <v>4.4000000000000004</v>
      </c>
      <c r="H28" s="5">
        <v>1</v>
      </c>
      <c r="I28" s="5">
        <f>(טבלה18[[#This Row],[עמודה3]]/טבלה18[[#This Row],[כמות למחיר]])*טבלה18[[#This Row],[עמודה2]]</f>
        <v>0</v>
      </c>
      <c r="J28">
        <f>טבלה18[[#This Row],[מחיר לארוחה]]*$C$2</f>
        <v>0</v>
      </c>
    </row>
    <row r="29" spans="5:11">
      <c r="E29" s="67" t="str">
        <f>קיטים!C30</f>
        <v>לחמניית צליאק</v>
      </c>
      <c r="F29" s="68">
        <f>קיטים!EI30</f>
        <v>0</v>
      </c>
      <c r="G29" s="90">
        <v>3.1</v>
      </c>
      <c r="H29" s="5">
        <v>1</v>
      </c>
      <c r="I29" s="5">
        <f>(טבלה18[[#This Row],[עמודה3]]/טבלה18[[#This Row],[כמות למחיר]])*טבלה18[[#This Row],[עמודה2]]</f>
        <v>0</v>
      </c>
      <c r="J29">
        <f>טבלה18[[#This Row],[מחיר לארוחה]]*$C$2</f>
        <v>0</v>
      </c>
    </row>
    <row r="30" spans="5:11">
      <c r="E30" s="67" t="str">
        <f>קיטים!C31</f>
        <v xml:space="preserve">נקניק יבש – 800 גרם </v>
      </c>
      <c r="F30" s="68">
        <f>קיטים!EI31</f>
        <v>0</v>
      </c>
      <c r="G30" s="89">
        <v>23</v>
      </c>
      <c r="H30" s="5">
        <v>1</v>
      </c>
      <c r="I30" s="5">
        <f>(טבלה18[[#This Row],[עמודה3]]/טבלה18[[#This Row],[כמות למחיר]])*טבלה18[[#This Row],[עמודה2]]</f>
        <v>0</v>
      </c>
      <c r="J30">
        <f>טבלה18[[#This Row],[מחיר לארוחה]]*$C$2</f>
        <v>0</v>
      </c>
    </row>
    <row r="31" spans="5:11">
      <c r="E31" s="67" t="str">
        <f>קיטים!C32</f>
        <v>גבינה מותכת משולשים( 16 חת')</v>
      </c>
      <c r="F31" s="68">
        <f>קיטים!EI32</f>
        <v>0</v>
      </c>
      <c r="G31" s="92"/>
      <c r="J31">
        <f>טבלה18[[#This Row],[מחיר לארוחה]]*$C$2</f>
        <v>0</v>
      </c>
    </row>
    <row r="32" spans="5:11">
      <c r="E32" s="67" t="str">
        <f>קיטים!C33</f>
        <v>טונה גדול</v>
      </c>
      <c r="F32" s="68">
        <f>קיטים!EI33</f>
        <v>0</v>
      </c>
      <c r="G32" s="89">
        <v>3.8</v>
      </c>
      <c r="H32" s="5">
        <v>1</v>
      </c>
      <c r="I32" s="5">
        <f>(טבלה18[[#This Row],[עמודה3]]/טבלה18[[#This Row],[כמות למחיר]])*טבלה18[[#This Row],[עמודה2]]</f>
        <v>0</v>
      </c>
      <c r="J32">
        <f>טבלה18[[#This Row],[מחיר לארוחה]]*$C$2</f>
        <v>0</v>
      </c>
    </row>
    <row r="33" spans="5:10">
      <c r="E33" s="67" t="str">
        <f>קיטים!C34</f>
        <v xml:space="preserve">מלפפון חמוץ במלח 330 גרם </v>
      </c>
      <c r="F33" s="68">
        <f>קיטים!EI34</f>
        <v>0</v>
      </c>
      <c r="G33" s="89">
        <v>3.7</v>
      </c>
      <c r="H33" s="5">
        <v>1</v>
      </c>
      <c r="I33" s="5">
        <f>(טבלה18[[#This Row],[עמודה3]]/טבלה18[[#This Row],[כמות למחיר]])*טבלה18[[#This Row],[עמודה2]]</f>
        <v>0</v>
      </c>
      <c r="J33">
        <f>טבלה18[[#This Row],[מחיר לארוחה]]*$C$2</f>
        <v>0</v>
      </c>
    </row>
    <row r="34" spans="5:10">
      <c r="E34" s="67" t="str">
        <f>קיטים!C35</f>
        <v xml:space="preserve">תירס 330 גרם </v>
      </c>
      <c r="F34" s="68">
        <f>קיטים!EI35</f>
        <v>0</v>
      </c>
      <c r="G34" s="89">
        <v>3.9</v>
      </c>
      <c r="H34" s="5">
        <v>1</v>
      </c>
      <c r="I34" s="5">
        <f>(טבלה18[[#This Row],[עמודה3]]/טבלה18[[#This Row],[כמות למחיר]])*טבלה18[[#This Row],[עמודה2]]</f>
        <v>0</v>
      </c>
      <c r="J34">
        <f>טבלה18[[#This Row],[מחיר לארוחה]]*$C$2</f>
        <v>0</v>
      </c>
    </row>
    <row r="35" spans="5:10">
      <c r="E35" s="67" t="str">
        <f>קיטים!C36</f>
        <v>שוקולד השחר (פרווה) 500 ג'</v>
      </c>
      <c r="F35" s="68">
        <f>קיטים!EI36</f>
        <v>0</v>
      </c>
      <c r="G35" s="89">
        <v>8.4499999999999993</v>
      </c>
      <c r="H35" s="5">
        <v>1</v>
      </c>
      <c r="I35" s="5">
        <f>(טבלה18[[#This Row],[עמודה3]]/טבלה18[[#This Row],[כמות למחיר]])*טבלה18[[#This Row],[עמודה2]]</f>
        <v>0</v>
      </c>
      <c r="J35">
        <f>טבלה18[[#This Row],[מחיר לארוחה]]*$C$2</f>
        <v>0</v>
      </c>
    </row>
    <row r="36" spans="5:10">
      <c r="E36" s="67" t="str">
        <f>קיטים!C37</f>
        <v>וופלים</v>
      </c>
      <c r="F36" s="68">
        <f>קיטים!EI37</f>
        <v>0</v>
      </c>
      <c r="G36" s="89">
        <v>2.6</v>
      </c>
      <c r="H36" s="5">
        <v>1</v>
      </c>
      <c r="I36" s="5">
        <f>(טבלה18[[#This Row],[עמודה3]]/טבלה18[[#This Row],[כמות למחיר]])*טבלה18[[#This Row],[עמודה2]]</f>
        <v>0</v>
      </c>
      <c r="J36">
        <f>טבלה18[[#This Row],[מחיר לארוחה]]*$C$2</f>
        <v>0</v>
      </c>
    </row>
    <row r="37" spans="5:10">
      <c r="E37" s="67" t="str">
        <f>קיטים!C38</f>
        <v>עגבניה יח</v>
      </c>
      <c r="F37" s="68">
        <f>קיטים!EI38</f>
        <v>0</v>
      </c>
      <c r="G37" s="90">
        <v>6.5</v>
      </c>
      <c r="H37" s="5">
        <v>7</v>
      </c>
      <c r="I37" s="5">
        <f>(טבלה18[[#This Row],[עמודה3]]/טבלה18[[#This Row],[כמות למחיר]])*טבלה18[[#This Row],[עמודה2]]</f>
        <v>0</v>
      </c>
      <c r="J37" s="5">
        <f>טבלה18[[#This Row],[מחיר לארוחה]]</f>
        <v>0</v>
      </c>
    </row>
    <row r="38" spans="5:10">
      <c r="E38" s="67" t="str">
        <f>קיטים!C39</f>
        <v>מלפפון יח</v>
      </c>
      <c r="F38" s="68">
        <f>קיטים!EI39</f>
        <v>0</v>
      </c>
      <c r="G38" s="90">
        <v>4.9000000000000004</v>
      </c>
      <c r="H38" s="5">
        <v>9</v>
      </c>
      <c r="I38" s="5">
        <f>(טבלה18[[#This Row],[עמודה3]]/טבלה18[[#This Row],[כמות למחיר]])*טבלה18[[#This Row],[עמודה2]]</f>
        <v>0</v>
      </c>
      <c r="J38" s="5">
        <f>טבלה18[[#This Row],[מחיר לארוחה]]</f>
        <v>0</v>
      </c>
    </row>
    <row r="39" spans="5:10">
      <c r="E39" s="67" t="str">
        <f>קיטים!C40</f>
        <v>טחינה</v>
      </c>
      <c r="F39" s="68">
        <f>קיטים!EI40</f>
        <v>0</v>
      </c>
      <c r="G39" s="89">
        <v>11</v>
      </c>
      <c r="H39" s="5">
        <v>1</v>
      </c>
      <c r="I39" s="5">
        <f>(טבלה18[[#This Row],[עמודה3]]/טבלה18[[#This Row],[כמות למחיר]])*טבלה18[[#This Row],[עמודה2]]</f>
        <v>0</v>
      </c>
      <c r="J39">
        <f>טבלה18[[#This Row],[מחיר לארוחה]]*$C$2</f>
        <v>0</v>
      </c>
    </row>
    <row r="40" spans="5:10">
      <c r="E40" s="67" t="str">
        <f>קיטים!C41</f>
        <v>לימון אישי</v>
      </c>
      <c r="F40" s="68">
        <f>קיטים!EI41</f>
        <v>0</v>
      </c>
      <c r="G40" s="92"/>
    </row>
    <row r="41" spans="5:10">
      <c r="E41" t="s">
        <v>489</v>
      </c>
      <c r="F41" s="68" t="e">
        <f>קיטים!#REF!</f>
        <v>#REF!</v>
      </c>
      <c r="G41" s="93">
        <v>9.9</v>
      </c>
      <c r="H41" s="5">
        <v>1000</v>
      </c>
      <c r="I41" s="5" t="e">
        <f>(טבלה18[[#This Row],[עמודה3]]/טבלה18[[#This Row],[כמות למחיר]])*טבלה18[[#This Row],[עמודה2]]</f>
        <v>#REF!</v>
      </c>
      <c r="J41" t="e">
        <f>טבלה18[[#This Row],[מחיר לארוחה]]*$C$2</f>
        <v>#REF!</v>
      </c>
    </row>
    <row r="42" spans="5:10">
      <c r="E42" t="s">
        <v>494</v>
      </c>
      <c r="F42" s="5" t="e">
        <f>F41</f>
        <v>#REF!</v>
      </c>
      <c r="G42" s="93">
        <v>18</v>
      </c>
      <c r="H42" s="5">
        <v>1000</v>
      </c>
      <c r="I42" s="5" t="e">
        <f>(טבלה18[[#This Row],[עמודה3]]/טבלה18[[#This Row],[כמות למחיר]])*טבלה18[[#This Row],[עמודה2]]</f>
        <v>#REF!</v>
      </c>
      <c r="J42" t="e">
        <f>טבלה18[[#This Row],[מחיר לארוחה]]*$C$2</f>
        <v>#REF!</v>
      </c>
    </row>
    <row r="43" spans="5:10">
      <c r="E43" s="67" t="str">
        <f>קיטים!C43</f>
        <v>צלחת חד פעמית קר</v>
      </c>
      <c r="F43" s="68">
        <f>קיטים!EI43</f>
        <v>0</v>
      </c>
      <c r="G43" s="94">
        <v>165</v>
      </c>
      <c r="H43" s="5">
        <v>1800</v>
      </c>
      <c r="I43" s="5">
        <f>(טבלה18[[#This Row],[עמודה3]]/טבלה18[[#This Row],[כמות למחיר]])*טבלה18[[#This Row],[עמודה2]]</f>
        <v>0</v>
      </c>
      <c r="J43">
        <f>טבלה18[[#This Row],[מחיר לארוחה]]*$C$2</f>
        <v>0</v>
      </c>
    </row>
    <row r="44" spans="5:10">
      <c r="E44" s="67" t="str">
        <f>קיטים!C44</f>
        <v xml:space="preserve">מזלג חד פעמי </v>
      </c>
      <c r="F44" s="68">
        <f>קיטים!EI44</f>
        <v>0</v>
      </c>
      <c r="G44" s="94">
        <v>104</v>
      </c>
      <c r="H44" s="5">
        <v>4000</v>
      </c>
      <c r="I44" s="5">
        <f>(טבלה18[[#This Row],[עמודה3]]/טבלה18[[#This Row],[כמות למחיר]])*טבלה18[[#This Row],[עמודה2]]</f>
        <v>0</v>
      </c>
      <c r="J44">
        <f>טבלה18[[#This Row],[מחיר לארוחה]]*$C$2</f>
        <v>0</v>
      </c>
    </row>
    <row r="45" spans="5:10">
      <c r="E45" s="67" t="str">
        <f>קיטים!C45</f>
        <v xml:space="preserve">סכין חד פעמי </v>
      </c>
      <c r="F45" s="68">
        <f>קיטים!EI45</f>
        <v>0</v>
      </c>
      <c r="G45" s="94">
        <v>120</v>
      </c>
      <c r="H45" s="5">
        <v>4000</v>
      </c>
      <c r="I45" s="5">
        <f>(טבלה18[[#This Row],[עמודה3]]/טבלה18[[#This Row],[כמות למחיר]])*טבלה18[[#This Row],[עמודה2]]</f>
        <v>0</v>
      </c>
      <c r="J45">
        <f>טבלה18[[#This Row],[מחיר לארוחה]]*$C$2</f>
        <v>0</v>
      </c>
    </row>
    <row r="46" spans="5:10">
      <c r="E46" s="67" t="str">
        <f>קיטים!C46</f>
        <v xml:space="preserve">שקיות גופייה </v>
      </c>
      <c r="F46" s="68">
        <f>קיטים!EI46</f>
        <v>0</v>
      </c>
      <c r="G46" s="94">
        <v>180</v>
      </c>
      <c r="H46" s="5">
        <v>2000</v>
      </c>
      <c r="I46" s="5">
        <f>(טבלה18[[#This Row],[עמודה3]]/טבלה18[[#This Row],[כמות למחיר]])*טבלה18[[#This Row],[עמודה2]]</f>
        <v>0</v>
      </c>
      <c r="J46">
        <f>טבלה18[[#This Row],[מחיר לארוחה]]*$C$2</f>
        <v>0</v>
      </c>
    </row>
    <row r="47" spans="5:10" ht="14.4" thickBot="1">
      <c r="E47" s="67" t="str">
        <f>קיטים!C47</f>
        <v xml:space="preserve">שקית זבל </v>
      </c>
      <c r="F47" s="68">
        <f>קיטים!EI47</f>
        <v>0</v>
      </c>
      <c r="G47" s="95">
        <v>155</v>
      </c>
      <c r="H47" s="5">
        <v>400</v>
      </c>
      <c r="I47" s="5">
        <f>(טבלה18[[#This Row],[עמודה3]]/טבלה18[[#This Row],[כמות למחיר]])*טבלה18[[#This Row],[עמודה2]]</f>
        <v>0</v>
      </c>
      <c r="J47">
        <f>טבלה18[[#This Row],[מחיר לארוחה]]*$C$2</f>
        <v>0</v>
      </c>
    </row>
    <row r="48" spans="5:10" ht="14.4" thickBot="1">
      <c r="E48" s="67"/>
      <c r="F48" s="68"/>
      <c r="G48" s="91"/>
      <c r="H48" s="83" t="s">
        <v>496</v>
      </c>
      <c r="I48" s="84" t="e">
        <f>SUM(I28:I47)</f>
        <v>#REF!</v>
      </c>
      <c r="J48" s="77" t="e">
        <f>SUM(J28:J47)</f>
        <v>#REF!</v>
      </c>
    </row>
    <row r="49" spans="5:10">
      <c r="E49" s="85"/>
      <c r="F49" s="86"/>
      <c r="G49" s="92"/>
      <c r="H49" s="87" t="s">
        <v>497</v>
      </c>
      <c r="I49" s="88" t="e">
        <f>I48/קיטים!$EI$4</f>
        <v>#REF!</v>
      </c>
      <c r="J49" s="88" t="e">
        <f>J48/קיטים!$EI$4</f>
        <v>#REF!</v>
      </c>
    </row>
    <row r="50" spans="5:10">
      <c r="E50" s="67"/>
      <c r="F50" s="68"/>
    </row>
    <row r="51" spans="5:10">
      <c r="E51" s="67"/>
      <c r="F51" s="68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C3:E80"/>
  <sheetViews>
    <sheetView rightToLeft="1" workbookViewId="0">
      <selection activeCell="E14" sqref="E14"/>
    </sheetView>
  </sheetViews>
  <sheetFormatPr defaultRowHeight="13.8"/>
  <cols>
    <col min="3" max="3" width="20.69921875" bestFit="1" customWidth="1"/>
    <col min="5" max="5" width="12.3984375" customWidth="1"/>
  </cols>
  <sheetData>
    <row r="3" spans="3:5">
      <c r="C3" s="8" t="s">
        <v>16</v>
      </c>
      <c r="D3" s="12" t="s">
        <v>59</v>
      </c>
      <c r="E3" s="9" t="s">
        <v>9</v>
      </c>
    </row>
    <row r="4" spans="3:5">
      <c r="C4" s="7" t="s">
        <v>20</v>
      </c>
      <c r="D4" s="110" t="s">
        <v>8</v>
      </c>
    </row>
    <row r="5" spans="3:5">
      <c r="C5" s="2" t="s">
        <v>130</v>
      </c>
      <c r="D5" s="98" t="s">
        <v>55</v>
      </c>
    </row>
    <row r="6" spans="3:5">
      <c r="C6" s="3" t="s">
        <v>131</v>
      </c>
      <c r="D6" s="11" t="s">
        <v>55</v>
      </c>
    </row>
    <row r="7" spans="3:5">
      <c r="C7" s="105" t="s">
        <v>99</v>
      </c>
      <c r="D7" s="112" t="s">
        <v>101</v>
      </c>
    </row>
    <row r="8" spans="3:5">
      <c r="C8" s="13" t="s">
        <v>21</v>
      </c>
      <c r="D8" s="99" t="s">
        <v>8</v>
      </c>
    </row>
    <row r="9" spans="3:5">
      <c r="C9" s="10" t="s">
        <v>48</v>
      </c>
      <c r="D9" s="11" t="s">
        <v>49</v>
      </c>
    </row>
    <row r="10" spans="3:5">
      <c r="C10" t="s">
        <v>85</v>
      </c>
      <c r="D10" s="5" t="s">
        <v>84</v>
      </c>
    </row>
    <row r="11" spans="3:5">
      <c r="C11" t="s">
        <v>0</v>
      </c>
      <c r="D11" s="5" t="s">
        <v>60</v>
      </c>
    </row>
    <row r="12" spans="3:5">
      <c r="C12" s="3" t="s">
        <v>18</v>
      </c>
      <c r="D12" s="98" t="s">
        <v>139</v>
      </c>
    </row>
    <row r="13" spans="3:5">
      <c r="C13" s="1" t="s">
        <v>110</v>
      </c>
      <c r="D13" s="98" t="s">
        <v>137</v>
      </c>
    </row>
    <row r="14" spans="3:5">
      <c r="C14" t="s">
        <v>1</v>
      </c>
      <c r="D14" s="5" t="s">
        <v>62</v>
      </c>
    </row>
    <row r="15" spans="3:5">
      <c r="C15" s="10" t="s">
        <v>39</v>
      </c>
      <c r="D15" s="11" t="s">
        <v>51</v>
      </c>
    </row>
    <row r="16" spans="3:5">
      <c r="C16" s="116" t="s">
        <v>503</v>
      </c>
      <c r="D16" s="11" t="s">
        <v>8</v>
      </c>
    </row>
    <row r="17" spans="3:5">
      <c r="C17" t="s">
        <v>223</v>
      </c>
      <c r="D17" s="5" t="s">
        <v>6</v>
      </c>
    </row>
    <row r="18" spans="3:5">
      <c r="C18" t="s">
        <v>224</v>
      </c>
      <c r="D18" s="5" t="s">
        <v>6</v>
      </c>
    </row>
    <row r="19" spans="3:5">
      <c r="C19" s="102" t="s">
        <v>105</v>
      </c>
      <c r="D19" s="112" t="s">
        <v>6</v>
      </c>
    </row>
    <row r="20" spans="3:5">
      <c r="C20" s="10" t="s">
        <v>11</v>
      </c>
      <c r="D20" s="11" t="s">
        <v>63</v>
      </c>
    </row>
    <row r="21" spans="3:5">
      <c r="C21" s="3" t="s">
        <v>114</v>
      </c>
      <c r="D21" s="98" t="s">
        <v>8</v>
      </c>
    </row>
    <row r="22" spans="3:5">
      <c r="C22" t="s">
        <v>4</v>
      </c>
      <c r="D22" s="5" t="s">
        <v>43</v>
      </c>
    </row>
    <row r="23" spans="3:5">
      <c r="C23" t="s">
        <v>88</v>
      </c>
      <c r="D23" s="5" t="s">
        <v>89</v>
      </c>
    </row>
    <row r="24" spans="3:5">
      <c r="C24" s="10" t="s">
        <v>41</v>
      </c>
      <c r="D24" s="11" t="s">
        <v>44</v>
      </c>
    </row>
    <row r="25" spans="3:5">
      <c r="C25" s="14" t="s">
        <v>446</v>
      </c>
      <c r="D25" s="11"/>
      <c r="E25" s="10"/>
    </row>
    <row r="26" spans="3:5">
      <c r="C26" s="116" t="s">
        <v>502</v>
      </c>
      <c r="D26" s="98" t="s">
        <v>8</v>
      </c>
      <c r="E26" s="117"/>
    </row>
    <row r="27" spans="3:5">
      <c r="C27" t="s">
        <v>23</v>
      </c>
      <c r="D27" s="5" t="s">
        <v>6</v>
      </c>
    </row>
    <row r="28" spans="3:5">
      <c r="C28" s="10" t="s">
        <v>56</v>
      </c>
      <c r="D28" s="11" t="s">
        <v>6</v>
      </c>
    </row>
    <row r="29" spans="3:5">
      <c r="C29" t="s">
        <v>79</v>
      </c>
      <c r="D29" s="5" t="s">
        <v>6</v>
      </c>
    </row>
    <row r="30" spans="3:5">
      <c r="C30" s="1" t="s">
        <v>111</v>
      </c>
      <c r="D30" s="98" t="s">
        <v>138</v>
      </c>
    </row>
    <row r="31" spans="3:5">
      <c r="C31" s="10" t="s">
        <v>126</v>
      </c>
      <c r="D31" s="11" t="s">
        <v>103</v>
      </c>
    </row>
    <row r="32" spans="3:5">
      <c r="C32" s="102" t="s">
        <v>106</v>
      </c>
      <c r="D32" s="11" t="s">
        <v>8</v>
      </c>
    </row>
    <row r="33" spans="3:4">
      <c r="C33" s="10" t="s">
        <v>2</v>
      </c>
      <c r="D33" s="11" t="s">
        <v>8</v>
      </c>
    </row>
    <row r="34" spans="3:4" ht="14.4" thickBot="1">
      <c r="C34" t="s">
        <v>5</v>
      </c>
      <c r="D34" s="5" t="s">
        <v>51</v>
      </c>
    </row>
    <row r="35" spans="3:4">
      <c r="C35" s="97" t="s">
        <v>45</v>
      </c>
      <c r="D35" s="111" t="s">
        <v>44</v>
      </c>
    </row>
    <row r="36" spans="3:4">
      <c r="C36" t="s">
        <v>58</v>
      </c>
      <c r="D36" s="5" t="s">
        <v>60</v>
      </c>
    </row>
    <row r="37" spans="3:4">
      <c r="C37" t="s">
        <v>501</v>
      </c>
      <c r="D37" s="5"/>
    </row>
    <row r="38" spans="3:4">
      <c r="C38" s="3" t="s">
        <v>112</v>
      </c>
      <c r="D38" s="98" t="s">
        <v>6</v>
      </c>
    </row>
    <row r="39" spans="3:4">
      <c r="C39" s="10" t="s">
        <v>78</v>
      </c>
      <c r="D39" s="11" t="s">
        <v>93</v>
      </c>
    </row>
    <row r="40" spans="3:4">
      <c r="C40" s="10" t="s">
        <v>74</v>
      </c>
      <c r="D40" s="11" t="s">
        <v>6</v>
      </c>
    </row>
    <row r="41" spans="3:4">
      <c r="C41" s="102" t="s">
        <v>98</v>
      </c>
      <c r="D41" s="112" t="s">
        <v>97</v>
      </c>
    </row>
    <row r="42" spans="3:4">
      <c r="C42" t="s">
        <v>379</v>
      </c>
      <c r="D42" s="5" t="s">
        <v>6</v>
      </c>
    </row>
    <row r="43" spans="3:4">
      <c r="C43" t="s">
        <v>83</v>
      </c>
      <c r="D43" s="5" t="s">
        <v>54</v>
      </c>
    </row>
    <row r="44" spans="3:4">
      <c r="C44" t="s">
        <v>53</v>
      </c>
      <c r="D44" s="5" t="s">
        <v>64</v>
      </c>
    </row>
    <row r="45" spans="3:4">
      <c r="C45" s="13" t="s">
        <v>19</v>
      </c>
      <c r="D45" s="99" t="s">
        <v>139</v>
      </c>
    </row>
    <row r="46" spans="3:4">
      <c r="C46" s="3" t="s">
        <v>108</v>
      </c>
      <c r="D46" s="98" t="s">
        <v>134</v>
      </c>
    </row>
    <row r="47" spans="3:4">
      <c r="C47" t="s">
        <v>13</v>
      </c>
      <c r="D47" s="5" t="s">
        <v>8</v>
      </c>
    </row>
    <row r="48" spans="3:4">
      <c r="C48" s="104" t="s">
        <v>32</v>
      </c>
      <c r="D48" s="112" t="s">
        <v>6</v>
      </c>
    </row>
    <row r="49" spans="3:5">
      <c r="C49" s="10" t="s">
        <v>3</v>
      </c>
      <c r="D49" s="11" t="s">
        <v>8</v>
      </c>
    </row>
    <row r="50" spans="3:5">
      <c r="C50" s="105" t="s">
        <v>100</v>
      </c>
      <c r="D50" s="112" t="s">
        <v>6</v>
      </c>
    </row>
    <row r="51" spans="3:5">
      <c r="C51" s="1" t="s">
        <v>127</v>
      </c>
      <c r="D51" s="98" t="s">
        <v>136</v>
      </c>
    </row>
    <row r="52" spans="3:5">
      <c r="C52" s="10" t="s">
        <v>69</v>
      </c>
      <c r="D52" s="11" t="s">
        <v>8</v>
      </c>
    </row>
    <row r="53" spans="3:5">
      <c r="C53" s="102" t="s">
        <v>115</v>
      </c>
      <c r="D53" s="11" t="s">
        <v>8</v>
      </c>
    </row>
    <row r="54" spans="3:5">
      <c r="C54" s="1" t="s">
        <v>27</v>
      </c>
      <c r="D54" s="98" t="s">
        <v>8</v>
      </c>
    </row>
    <row r="55" spans="3:5">
      <c r="C55" s="103" t="s">
        <v>90</v>
      </c>
      <c r="D55" s="96" t="s">
        <v>499</v>
      </c>
    </row>
    <row r="56" spans="3:5">
      <c r="C56" s="118" t="s">
        <v>504</v>
      </c>
      <c r="D56" s="113" t="s">
        <v>8</v>
      </c>
      <c r="E56" s="117"/>
    </row>
    <row r="57" spans="3:5">
      <c r="C57" s="103" t="s">
        <v>81</v>
      </c>
      <c r="D57" s="96" t="s">
        <v>82</v>
      </c>
    </row>
    <row r="58" spans="3:5">
      <c r="C58" s="103" t="s">
        <v>15</v>
      </c>
      <c r="D58" s="96" t="s">
        <v>43</v>
      </c>
    </row>
    <row r="59" spans="3:5">
      <c r="C59" s="107" t="s">
        <v>26</v>
      </c>
      <c r="D59" s="114" t="s">
        <v>8</v>
      </c>
    </row>
    <row r="60" spans="3:5">
      <c r="C60" s="1" t="s">
        <v>129</v>
      </c>
      <c r="D60" s="98" t="s">
        <v>8</v>
      </c>
    </row>
    <row r="61" spans="3:5">
      <c r="C61" s="10" t="s">
        <v>12</v>
      </c>
      <c r="D61" s="11" t="s">
        <v>65</v>
      </c>
    </row>
    <row r="62" spans="3:5">
      <c r="C62" s="108" t="s">
        <v>128</v>
      </c>
      <c r="D62" s="98" t="s">
        <v>8</v>
      </c>
    </row>
    <row r="63" spans="3:5">
      <c r="C63" s="6" t="s">
        <v>96</v>
      </c>
      <c r="D63" s="4" t="s">
        <v>97</v>
      </c>
    </row>
    <row r="64" spans="3:5">
      <c r="C64" s="109" t="s">
        <v>132</v>
      </c>
      <c r="D64" s="115" t="s">
        <v>133</v>
      </c>
    </row>
    <row r="65" spans="3:5">
      <c r="C65" s="103" t="s">
        <v>485</v>
      </c>
      <c r="D65" s="96" t="s">
        <v>6</v>
      </c>
    </row>
    <row r="66" spans="3:5">
      <c r="C66" s="103" t="s">
        <v>337</v>
      </c>
      <c r="D66" s="6" t="s">
        <v>6</v>
      </c>
      <c r="E66" s="10"/>
    </row>
    <row r="67" spans="3:5">
      <c r="C67" s="64" t="s">
        <v>339</v>
      </c>
      <c r="D67" s="96" t="s">
        <v>6</v>
      </c>
    </row>
    <row r="68" spans="3:5">
      <c r="C68" s="101" t="s">
        <v>340</v>
      </c>
      <c r="D68" s="100" t="s">
        <v>6</v>
      </c>
      <c r="E68" s="10"/>
    </row>
    <row r="69" spans="3:5">
      <c r="C69" s="106" t="s">
        <v>40</v>
      </c>
      <c r="D69" s="113" t="s">
        <v>55</v>
      </c>
    </row>
    <row r="70" spans="3:5">
      <c r="C70" s="103" t="s">
        <v>505</v>
      </c>
      <c r="D70" s="96"/>
    </row>
    <row r="71" spans="3:5">
      <c r="C71" s="1" t="s">
        <v>113</v>
      </c>
      <c r="D71" s="100" t="s">
        <v>135</v>
      </c>
    </row>
    <row r="72" spans="3:5">
      <c r="C72" s="13" t="s">
        <v>25</v>
      </c>
      <c r="D72" s="99" t="s">
        <v>24</v>
      </c>
    </row>
    <row r="73" spans="3:5">
      <c r="C73" s="10" t="s">
        <v>71</v>
      </c>
      <c r="D73" s="11" t="s">
        <v>50</v>
      </c>
    </row>
    <row r="74" spans="3:5">
      <c r="C74" s="3" t="s">
        <v>17</v>
      </c>
      <c r="D74" s="98" t="s">
        <v>61</v>
      </c>
    </row>
    <row r="75" spans="3:5">
      <c r="C75" s="1" t="s">
        <v>109</v>
      </c>
      <c r="D75" s="5" t="s">
        <v>134</v>
      </c>
    </row>
    <row r="76" spans="3:5">
      <c r="C76" s="1" t="s">
        <v>107</v>
      </c>
      <c r="D76" s="5" t="s">
        <v>134</v>
      </c>
    </row>
    <row r="77" spans="3:5">
      <c r="C77" s="10" t="s">
        <v>38</v>
      </c>
      <c r="D77" s="11" t="s">
        <v>6</v>
      </c>
    </row>
    <row r="78" spans="3:5">
      <c r="C78" t="s">
        <v>14</v>
      </c>
      <c r="D78" s="5" t="s">
        <v>46</v>
      </c>
    </row>
    <row r="79" spans="3:5">
      <c r="C79" s="102" t="s">
        <v>104</v>
      </c>
      <c r="D79" s="112" t="s">
        <v>103</v>
      </c>
    </row>
    <row r="80" spans="3:5">
      <c r="C80" t="s">
        <v>57</v>
      </c>
      <c r="D80" s="96" t="s">
        <v>51</v>
      </c>
    </row>
  </sheetData>
  <dataValidations count="2">
    <dataValidation type="list" allowBlank="1" showInputMessage="1" showErrorMessage="1" sqref="C79">
      <formula1>$I$31:$I$31</formula1>
    </dataValidation>
    <dataValidation type="list" allowBlank="1" showInputMessage="1" showErrorMessage="1" sqref="C80">
      <formula1>$I$28:$I$28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S26"/>
  <sheetViews>
    <sheetView rightToLeft="1" zoomScaleNormal="100" workbookViewId="0">
      <selection activeCell="C19" sqref="C19"/>
    </sheetView>
  </sheetViews>
  <sheetFormatPr defaultColWidth="9.09765625" defaultRowHeight="16.5" customHeight="1"/>
  <cols>
    <col min="1" max="1" width="7" style="210" customWidth="1"/>
    <col min="2" max="2" width="8.09765625" style="210" customWidth="1"/>
    <col min="3" max="3" width="14.3984375" style="210" bestFit="1" customWidth="1"/>
    <col min="4" max="4" width="18.3984375" style="242" customWidth="1"/>
    <col min="5" max="5" width="15.19921875" style="265" customWidth="1"/>
    <col min="6" max="6" width="12.69921875" style="210" customWidth="1"/>
    <col min="7" max="7" width="7.19921875" style="242" customWidth="1"/>
    <col min="8" max="8" width="8.3984375" style="210" bestFit="1" customWidth="1"/>
    <col min="9" max="9" width="15.3984375" style="210" bestFit="1" customWidth="1"/>
    <col min="10" max="10" width="9.09765625" style="210"/>
    <col min="11" max="11" width="9.09765625" style="265"/>
    <col min="12" max="12" width="14.19921875" style="210" customWidth="1"/>
    <col min="13" max="13" width="12.59765625" style="242" customWidth="1"/>
    <col min="14" max="14" width="9.09765625" style="210"/>
    <col min="15" max="15" width="13.3984375" style="291" bestFit="1" customWidth="1"/>
    <col min="16" max="16" width="13.8984375" style="210" customWidth="1"/>
    <col min="17" max="17" width="9.09765625" style="210"/>
    <col min="18" max="18" width="11.69921875" style="210" customWidth="1"/>
    <col min="19" max="16384" width="9.09765625" style="210"/>
  </cols>
  <sheetData>
    <row r="2" spans="2:19" ht="16.5" customHeight="1" thickBot="1"/>
    <row r="3" spans="2:19" ht="16.5" customHeight="1" thickBot="1">
      <c r="C3" s="676" t="s">
        <v>537</v>
      </c>
      <c r="D3" s="678" t="s">
        <v>535</v>
      </c>
      <c r="E3" s="679"/>
      <c r="F3" s="679"/>
      <c r="G3" s="679"/>
      <c r="H3" s="679"/>
      <c r="I3" s="680"/>
      <c r="K3" s="265" t="s">
        <v>533</v>
      </c>
      <c r="L3" s="271" t="s">
        <v>16</v>
      </c>
      <c r="M3" s="272" t="s">
        <v>59</v>
      </c>
      <c r="N3" s="269" t="s">
        <v>9</v>
      </c>
      <c r="O3" s="210"/>
    </row>
    <row r="4" spans="2:19" ht="16.5" customHeight="1" thickBot="1">
      <c r="C4" s="677"/>
      <c r="D4" s="273" t="s">
        <v>36</v>
      </c>
      <c r="E4" s="274" t="s">
        <v>16</v>
      </c>
      <c r="F4" s="256" t="s">
        <v>47</v>
      </c>
      <c r="G4" s="275" t="s">
        <v>10</v>
      </c>
      <c r="H4" s="256" t="s">
        <v>9</v>
      </c>
      <c r="I4" s="276" t="s">
        <v>42</v>
      </c>
      <c r="K4" s="265">
        <v>1014</v>
      </c>
      <c r="L4" s="277" t="s">
        <v>513</v>
      </c>
      <c r="M4" s="277" t="s">
        <v>24</v>
      </c>
      <c r="N4" s="269">
        <f>SUMIF($E$4:$E$11,טבלה11517[[#This Row],[מוצר]],$H$4:$H$11)</f>
        <v>0</v>
      </c>
      <c r="O4" s="210"/>
    </row>
    <row r="5" spans="2:19" ht="21" customHeight="1">
      <c r="B5" s="675"/>
      <c r="C5" s="676"/>
      <c r="D5" s="681"/>
      <c r="E5" s="278" t="s">
        <v>513</v>
      </c>
      <c r="F5" s="258" t="s">
        <v>103</v>
      </c>
      <c r="G5" s="239">
        <v>10</v>
      </c>
      <c r="H5" s="258">
        <f>ROUNDUP(($D$5-$D$8)/G5,0)*$C$5</f>
        <v>0</v>
      </c>
      <c r="I5" s="279"/>
      <c r="K5" s="265">
        <v>4913</v>
      </c>
      <c r="L5" s="277" t="s">
        <v>511</v>
      </c>
      <c r="M5" s="277" t="s">
        <v>24</v>
      </c>
      <c r="N5" s="269">
        <f>SUMIF($E$4:$E$11,טבלה11517[[#This Row],[מוצר]],$H$4:$H$11)</f>
        <v>0</v>
      </c>
      <c r="O5" s="210"/>
    </row>
    <row r="6" spans="2:19" ht="14.25" customHeight="1" thickBot="1">
      <c r="B6" s="675"/>
      <c r="C6" s="683"/>
      <c r="D6" s="682"/>
      <c r="E6" s="278" t="s">
        <v>511</v>
      </c>
      <c r="F6" s="258" t="s">
        <v>103</v>
      </c>
      <c r="G6" s="239">
        <v>20</v>
      </c>
      <c r="H6" s="258">
        <f>ROUNDUP((D8)/G6,0)*$C$5</f>
        <v>0</v>
      </c>
      <c r="I6" s="279"/>
      <c r="K6" s="265">
        <v>6463</v>
      </c>
      <c r="L6" s="277" t="s">
        <v>13</v>
      </c>
      <c r="M6" s="277" t="s">
        <v>8</v>
      </c>
      <c r="N6" s="269">
        <f>SUMIF($E$4:$E$11,טבלה11517[[#This Row],[מוצר]],$H$4:$H$11)</f>
        <v>0</v>
      </c>
      <c r="O6" s="280"/>
      <c r="P6" s="280"/>
      <c r="Q6" s="280"/>
      <c r="R6" s="280"/>
    </row>
    <row r="7" spans="2:19" ht="17.25" customHeight="1" thickBot="1">
      <c r="B7" s="675"/>
      <c r="C7" s="683"/>
      <c r="D7" s="281" t="s">
        <v>76</v>
      </c>
      <c r="E7" s="278" t="s">
        <v>986</v>
      </c>
      <c r="F7" s="258" t="s">
        <v>8</v>
      </c>
      <c r="G7" s="239">
        <v>100</v>
      </c>
      <c r="H7" s="258">
        <f>ROUNDUP(($D$5-$D$8)/G7,0)*$C$5</f>
        <v>0</v>
      </c>
      <c r="I7" s="279"/>
      <c r="K7" s="265">
        <v>1238</v>
      </c>
      <c r="L7" s="277" t="s">
        <v>534</v>
      </c>
      <c r="M7" s="277" t="s">
        <v>62</v>
      </c>
      <c r="N7" s="269">
        <f>SUMIF($E$4:$E$11,טבלה11517[[#This Row],[מוצר]],$H$4:$H$11)</f>
        <v>0</v>
      </c>
      <c r="O7" s="280"/>
      <c r="P7" s="280"/>
      <c r="Q7" s="280"/>
      <c r="R7" s="280"/>
    </row>
    <row r="8" spans="2:19" ht="17.25" customHeight="1">
      <c r="B8" s="675"/>
      <c r="C8" s="683"/>
      <c r="D8" s="684"/>
      <c r="E8" s="278" t="s">
        <v>13</v>
      </c>
      <c r="F8" s="258" t="s">
        <v>8</v>
      </c>
      <c r="G8" s="239">
        <v>150</v>
      </c>
      <c r="H8" s="258">
        <f>ROUNDUP(($D$5-$D$8)/G8,0)*$C$5</f>
        <v>0</v>
      </c>
      <c r="I8" s="279"/>
      <c r="K8" s="625">
        <v>2164</v>
      </c>
      <c r="L8" s="626" t="s">
        <v>986</v>
      </c>
      <c r="M8" s="625" t="s">
        <v>8</v>
      </c>
      <c r="N8" s="627">
        <f>SUMIF($E$4:$E$11,טבלה11517[[#This Row],[מוצר]],$H$4:$H$11)</f>
        <v>0</v>
      </c>
      <c r="O8" s="359"/>
      <c r="P8" s="280"/>
      <c r="Q8" s="280"/>
      <c r="R8" s="280"/>
      <c r="S8" s="280"/>
    </row>
    <row r="9" spans="2:19" ht="17.25" customHeight="1">
      <c r="B9" s="675"/>
      <c r="C9" s="683"/>
      <c r="D9" s="685"/>
      <c r="E9" s="278" t="s">
        <v>534</v>
      </c>
      <c r="F9" s="258" t="s">
        <v>62</v>
      </c>
      <c r="G9" s="239">
        <v>80</v>
      </c>
      <c r="H9" s="258">
        <f>ROUNDUP(($D$5-$D$8)/G9,0)*$C$5</f>
        <v>0</v>
      </c>
      <c r="I9" s="279"/>
      <c r="K9" s="356"/>
      <c r="L9" s="357"/>
      <c r="M9" s="356"/>
      <c r="N9" s="358"/>
      <c r="O9" s="359"/>
      <c r="P9" s="280"/>
      <c r="Q9" s="280"/>
      <c r="R9" s="280"/>
      <c r="S9" s="280"/>
    </row>
    <row r="10" spans="2:19" ht="17.25" customHeight="1" thickBot="1">
      <c r="B10" s="675"/>
      <c r="C10" s="677"/>
      <c r="D10" s="686"/>
      <c r="E10" s="278" t="s">
        <v>603</v>
      </c>
      <c r="F10" s="258" t="s">
        <v>602</v>
      </c>
      <c r="G10" s="239">
        <v>2</v>
      </c>
      <c r="H10" s="258">
        <f>ROUNDUP(($D$5)*G10,0)*$C$5</f>
        <v>0</v>
      </c>
      <c r="I10" s="279"/>
      <c r="K10" s="265" t="s">
        <v>533</v>
      </c>
      <c r="L10" s="271" t="s">
        <v>16</v>
      </c>
      <c r="M10" s="272" t="s">
        <v>59</v>
      </c>
      <c r="N10" s="269" t="s">
        <v>9</v>
      </c>
      <c r="O10" s="280"/>
      <c r="P10" s="280"/>
      <c r="Q10" s="280"/>
      <c r="R10" s="280"/>
    </row>
    <row r="11" spans="2:19" ht="16.5" customHeight="1" thickBot="1">
      <c r="E11" s="282" t="s">
        <v>67</v>
      </c>
      <c r="F11" s="259" t="s">
        <v>602</v>
      </c>
      <c r="G11" s="283">
        <v>3</v>
      </c>
      <c r="H11" s="259">
        <f>ROUNDUP(($D$5)*G11,0)*$C$5</f>
        <v>0</v>
      </c>
      <c r="I11" s="284"/>
      <c r="K11" s="352" t="s">
        <v>576</v>
      </c>
      <c r="L11" s="277" t="s">
        <v>603</v>
      </c>
      <c r="M11" s="350" t="s">
        <v>602</v>
      </c>
      <c r="N11" s="351">
        <f>SUMIF($E$4:$E$12,טבלה3[[#This Row],[מוצר]],$H$4:$H$12)</f>
        <v>0</v>
      </c>
      <c r="O11" s="280"/>
    </row>
    <row r="12" spans="2:19" ht="16.5" customHeight="1">
      <c r="E12" s="280"/>
      <c r="F12" s="280"/>
      <c r="G12" s="210"/>
      <c r="K12" s="360" t="s">
        <v>573</v>
      </c>
      <c r="L12" s="277" t="s">
        <v>67</v>
      </c>
      <c r="M12" s="361" t="s">
        <v>602</v>
      </c>
      <c r="N12" s="362">
        <f>SUMIF($E$4:$E$12,טבלה3[[#This Row],[מוצר]],$H$4:$H$12)</f>
        <v>0</v>
      </c>
      <c r="O12" s="210"/>
    </row>
    <row r="15" spans="2:19" ht="16.5" customHeight="1">
      <c r="D15" s="491"/>
      <c r="F15" s="424"/>
      <c r="G15" s="424"/>
    </row>
    <row r="16" spans="2:19" ht="16.5" customHeight="1">
      <c r="D16" s="419"/>
      <c r="E16" s="491"/>
      <c r="F16" s="491"/>
    </row>
    <row r="17" spans="4:6" ht="16.5" customHeight="1">
      <c r="D17" s="419"/>
      <c r="E17" s="277"/>
      <c r="F17" s="267"/>
    </row>
    <row r="18" spans="4:6" ht="16.5" customHeight="1">
      <c r="D18" s="419"/>
      <c r="E18" s="277"/>
      <c r="F18" s="267"/>
    </row>
    <row r="19" spans="4:6" ht="16.5" customHeight="1">
      <c r="D19" s="419"/>
      <c r="E19" s="277"/>
      <c r="F19" s="267"/>
    </row>
    <row r="20" spans="4:6" ht="16.5" customHeight="1">
      <c r="D20" s="419"/>
      <c r="E20" s="277"/>
      <c r="F20" s="267"/>
    </row>
    <row r="21" spans="4:6" ht="16.5" customHeight="1">
      <c r="D21" s="419"/>
      <c r="E21" s="277"/>
      <c r="F21" s="267"/>
    </row>
    <row r="22" spans="4:6" ht="16.5" customHeight="1">
      <c r="D22" s="419"/>
      <c r="E22" s="277"/>
      <c r="F22" s="267"/>
    </row>
    <row r="23" spans="4:6" ht="16.5" customHeight="1">
      <c r="D23" s="419"/>
      <c r="E23" s="277"/>
      <c r="F23" s="267"/>
    </row>
    <row r="24" spans="4:6" ht="16.5" customHeight="1">
      <c r="E24" s="277"/>
      <c r="F24" s="267"/>
    </row>
    <row r="25" spans="4:6" ht="16.5" customHeight="1">
      <c r="D25" s="624"/>
    </row>
    <row r="26" spans="4:6" ht="16.5" customHeight="1">
      <c r="E26" s="624"/>
    </row>
  </sheetData>
  <mergeCells count="6">
    <mergeCell ref="B5:B10"/>
    <mergeCell ref="C3:C4"/>
    <mergeCell ref="D3:I3"/>
    <mergeCell ref="D5:D6"/>
    <mergeCell ref="C5:C10"/>
    <mergeCell ref="D8:D10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213"/>
  <sheetViews>
    <sheetView rightToLeft="1" workbookViewId="0">
      <selection activeCell="AR20" sqref="AR20"/>
    </sheetView>
  </sheetViews>
  <sheetFormatPr defaultRowHeight="13.2"/>
  <cols>
    <col min="1" max="1" width="8.796875" style="649"/>
    <col min="2" max="2" width="11.5" style="649" customWidth="1"/>
    <col min="3" max="3" width="30.5" style="649" customWidth="1"/>
    <col min="4" max="4" width="8.296875" style="649" bestFit="1" customWidth="1"/>
    <col min="5" max="5" width="9.5" style="649" customWidth="1"/>
    <col min="6" max="6" width="12.5" style="649" bestFit="1" customWidth="1"/>
    <col min="7" max="7" width="8.796875" style="649" hidden="1" customWidth="1"/>
    <col min="8" max="8" width="13.19921875" style="649" hidden="1" customWidth="1"/>
    <col min="9" max="9" width="20.19921875" style="649" hidden="1" customWidth="1"/>
    <col min="10" max="10" width="6.5" style="649" hidden="1" customWidth="1"/>
    <col min="11" max="11" width="10" style="649" hidden="1" customWidth="1"/>
    <col min="12" max="12" width="10.09765625" style="649" hidden="1" customWidth="1"/>
    <col min="13" max="13" width="13" style="649" hidden="1" customWidth="1"/>
    <col min="14" max="14" width="15.3984375" style="649" hidden="1" customWidth="1"/>
    <col min="15" max="15" width="10.59765625" style="649" hidden="1" customWidth="1"/>
    <col min="16" max="16" width="11.8984375" style="649" hidden="1" customWidth="1"/>
    <col min="17" max="17" width="11.69921875" style="649" hidden="1" customWidth="1"/>
    <col min="18" max="18" width="5.8984375" style="649" hidden="1" customWidth="1"/>
    <col min="19" max="21" width="11.3984375" style="649" hidden="1" customWidth="1"/>
    <col min="22" max="24" width="10.09765625" style="649" hidden="1" customWidth="1"/>
    <col min="25" max="25" width="12.5" style="649" hidden="1" customWidth="1"/>
    <col min="26" max="26" width="8.09765625" style="649" hidden="1" customWidth="1"/>
    <col min="27" max="27" width="10.8984375" style="649" hidden="1" customWidth="1"/>
    <col min="28" max="28" width="11" style="649" hidden="1" customWidth="1"/>
    <col min="29" max="29" width="13.8984375" style="649" hidden="1" customWidth="1"/>
    <col min="30" max="30" width="8.796875" style="649" hidden="1" customWidth="1"/>
    <col min="31" max="31" width="11.5" style="649" hidden="1" customWidth="1"/>
    <col min="32" max="32" width="12.796875" style="649" hidden="1" customWidth="1"/>
    <col min="33" max="33" width="12.59765625" style="649" hidden="1" customWidth="1"/>
    <col min="34" max="34" width="8.796875" style="649" hidden="1" customWidth="1"/>
    <col min="35" max="37" width="13.19921875" style="649" hidden="1" customWidth="1"/>
    <col min="38" max="40" width="11.8984375" style="649" hidden="1" customWidth="1"/>
    <col min="41" max="41" width="14.296875" style="649" hidden="1" customWidth="1"/>
    <col min="42" max="42" width="9.69921875" style="649" hidden="1" customWidth="1"/>
    <col min="43" max="16384" width="8.796875" style="649"/>
  </cols>
  <sheetData>
    <row r="2" spans="2:42" ht="13.8" thickBot="1"/>
    <row r="3" spans="2:42" ht="15" customHeight="1" thickBot="1">
      <c r="B3" s="658" t="s">
        <v>194</v>
      </c>
      <c r="C3" s="400"/>
      <c r="G3" s="653"/>
    </row>
    <row r="4" spans="2:42" ht="16.2" thickBot="1">
      <c r="B4" s="659" t="s">
        <v>1009</v>
      </c>
      <c r="C4" s="401"/>
      <c r="G4" s="652"/>
    </row>
    <row r="5" spans="2:42" ht="16.2" thickBot="1">
      <c r="B5" s="658" t="s">
        <v>200</v>
      </c>
      <c r="C5" s="402"/>
      <c r="G5" s="652"/>
    </row>
    <row r="6" spans="2:42" ht="16.2" thickBot="1">
      <c r="B6" s="660" t="s">
        <v>203</v>
      </c>
      <c r="C6" s="657"/>
      <c r="G6" s="652"/>
    </row>
    <row r="7" spans="2:42" ht="14.4" thickBot="1">
      <c r="B7" s="661" t="s">
        <v>206</v>
      </c>
      <c r="C7" s="400"/>
      <c r="G7" s="650"/>
    </row>
    <row r="8" spans="2:42" ht="14.4" thickBot="1">
      <c r="B8" s="662" t="s">
        <v>617</v>
      </c>
      <c r="C8" s="408">
        <f ca="1">SUM(טבלה38[סה"כ להזמנה כולל מע"מ])</f>
        <v>0</v>
      </c>
    </row>
    <row r="9" spans="2:42" ht="16.8">
      <c r="F9" s="654"/>
      <c r="G9" s="654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663"/>
    </row>
    <row r="10" spans="2:42"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</row>
    <row r="11" spans="2:42">
      <c r="B11" s="664" t="s">
        <v>561</v>
      </c>
      <c r="C11" s="664" t="s">
        <v>988</v>
      </c>
      <c r="D11" s="664" t="s">
        <v>6</v>
      </c>
      <c r="E11" s="664" t="s">
        <v>568</v>
      </c>
      <c r="F11" s="664" t="s">
        <v>1165</v>
      </c>
      <c r="G11" s="665" t="s">
        <v>949</v>
      </c>
      <c r="H11" s="665" t="s">
        <v>950</v>
      </c>
      <c r="I11" s="665" t="s">
        <v>954</v>
      </c>
      <c r="J11" s="665" t="s">
        <v>22</v>
      </c>
      <c r="K11" s="665" t="s">
        <v>931</v>
      </c>
      <c r="L11" s="665" t="s">
        <v>930</v>
      </c>
      <c r="M11" s="665" t="s">
        <v>877</v>
      </c>
      <c r="N11" s="665" t="s">
        <v>951</v>
      </c>
      <c r="O11" s="665" t="s">
        <v>744</v>
      </c>
      <c r="P11" s="665" t="s">
        <v>952</v>
      </c>
      <c r="Q11" s="665" t="s">
        <v>611</v>
      </c>
      <c r="R11" s="665" t="s">
        <v>911</v>
      </c>
      <c r="S11" s="665" t="s">
        <v>745</v>
      </c>
      <c r="T11" s="665" t="s">
        <v>746</v>
      </c>
      <c r="U11" s="665" t="s">
        <v>908</v>
      </c>
      <c r="V11" s="665" t="s">
        <v>958</v>
      </c>
      <c r="W11" s="665" t="s">
        <v>959</v>
      </c>
      <c r="X11" s="665" t="s">
        <v>1010</v>
      </c>
      <c r="Y11" s="665" t="s">
        <v>567</v>
      </c>
      <c r="Z11" s="665" t="s">
        <v>616</v>
      </c>
      <c r="AA11" s="665" t="s">
        <v>963</v>
      </c>
      <c r="AB11" s="665" t="s">
        <v>964</v>
      </c>
      <c r="AC11" s="665" t="s">
        <v>965</v>
      </c>
      <c r="AD11" s="665" t="s">
        <v>966</v>
      </c>
      <c r="AE11" s="665" t="s">
        <v>967</v>
      </c>
      <c r="AF11" s="665" t="s">
        <v>968</v>
      </c>
      <c r="AG11" s="665" t="s">
        <v>969</v>
      </c>
      <c r="AH11" s="665" t="s">
        <v>970</v>
      </c>
      <c r="AI11" s="665" t="s">
        <v>971</v>
      </c>
      <c r="AJ11" s="665" t="s">
        <v>972</v>
      </c>
      <c r="AK11" s="665" t="s">
        <v>973</v>
      </c>
      <c r="AL11" s="665" t="s">
        <v>974</v>
      </c>
      <c r="AM11" s="665" t="s">
        <v>975</v>
      </c>
      <c r="AN11" s="665" t="s">
        <v>1166</v>
      </c>
      <c r="AO11" s="665" t="s">
        <v>976</v>
      </c>
      <c r="AP11" s="665" t="s">
        <v>977</v>
      </c>
    </row>
    <row r="12" spans="2:42" ht="14.4">
      <c r="B12" s="651">
        <v>185</v>
      </c>
      <c r="C12" s="650" t="s">
        <v>371</v>
      </c>
      <c r="D12" s="650" t="s">
        <v>8</v>
      </c>
      <c r="E12" s="650"/>
      <c r="F12" s="649" t="str">
        <f>IF(טבלה38[[#This Row],[סה"כ]]&gt;0,טבלה38[[#This Row],[סה"כ]],"")</f>
        <v/>
      </c>
      <c r="G12" s="656">
        <v>0</v>
      </c>
      <c r="H12" s="655">
        <f>טבלה38[[#This Row],[מחיר]]+טבלה38[[#This Row],[% מע"מ]]*טבלה38[[#This Row],[מחיר]]</f>
        <v>0</v>
      </c>
      <c r="I12" s="630">
        <f>טבלה38[[#This Row],[סה"כ]]*טבלה38[[#This Row],[מחיר ליח'' כולל ]]</f>
        <v>0</v>
      </c>
      <c r="J12" s="655">
        <f>SUM(טבלה38[[#This Row],[פימת קפה]:[תוספות]])</f>
        <v>0</v>
      </c>
      <c r="K12" s="655">
        <f>SUMIF(טבלה11517[מקט],טבלה38[[#This Row],[קוד מוצר]],טבלה11517[כמות])</f>
        <v>0</v>
      </c>
      <c r="L12" s="655">
        <f>SUMIF(טבלה115179[מקט],טבלה38[[#This Row],[קוד מוצר]],טבלה115179[כמות])</f>
        <v>0</v>
      </c>
      <c r="M12" s="655">
        <f>SUMIF(טבלה115[מקט],טבלה38[[#This Row],[קוד מוצר]],טבלה115[כמות])</f>
        <v>0</v>
      </c>
      <c r="N12" s="655">
        <f>SUMIF(טבלה1[מק"ט],טבלה38[[#This Row],[קוד מוצר]],טבלה1[כמות])</f>
        <v>0</v>
      </c>
      <c r="O12" s="655">
        <f>SUMIF(טבלה8[מק"ט],טבלה38[[#This Row],[קוד מוצר]],טבלה8[הזמנה])</f>
        <v>0</v>
      </c>
      <c r="P12" s="655">
        <f>SUMIF(טבלה15[מק"ט],טבלה38[[#This Row],[קוד מוצר]],טבלה15[הזמנה])</f>
        <v>0</v>
      </c>
      <c r="Q12" s="655">
        <f>SUMIF(טבלה1151718[מקט],טבלה38[[#This Row],[קוד מוצר]],טבלה1151718[כמות])</f>
        <v>0</v>
      </c>
      <c r="R12" s="655">
        <f>SUMIF(טבלה125[מקט],טבלה38[[#This Row],[קוד מוצר]],טבלה125[כמות])</f>
        <v>0</v>
      </c>
      <c r="S12" s="655">
        <f>SUMIF(טבלה33[מק"ט],טבלה38[[#This Row],[קוד מוצר]],טבלה33[הזמנה])</f>
        <v>0</v>
      </c>
      <c r="T12" s="655">
        <f>SUMIF(טבלה34[עמודה1],טבלה38[[#This Row],[קוד מוצר]],טבלה34[הזמנה])</f>
        <v>0</v>
      </c>
      <c r="U12" s="655">
        <f>SUMIF(טבלה35[עמודה1],טבלה38[[#This Row],[קוד מוצר]],טבלה35[הזמנה])</f>
        <v>0</v>
      </c>
      <c r="V12" s="655">
        <f>SUMIF(טבלה3338[מק"ט],טבלה38[[#This Row],[קוד מוצר]],טבלה3338[הזמנה])</f>
        <v>0</v>
      </c>
      <c r="W12" s="655">
        <f>SUMIF(טבלה3540[עמודה1],טבלה38[[#This Row],[קוד מוצר]],טבלה3540[הזמנה])</f>
        <v>0</v>
      </c>
      <c r="X12" s="655">
        <f>SUMIF(טבלה3441[עמודה1],טבלה38[[#This Row],[קוד מוצר]],טבלה3441[הזמנה])</f>
        <v>0</v>
      </c>
      <c r="Y12" s="655">
        <f>SUMIF(טבלה24[מקט],טבלה38[[#This Row],[קוד מוצר]],טבלה24[כמות])</f>
        <v>0</v>
      </c>
      <c r="Z12" s="655">
        <f>SUMIF(טבלה628[קוד מוצר],טבלה38[[#This Row],[קוד מוצר]],טבלה628[תוספת])</f>
        <v>0</v>
      </c>
      <c r="AA12" s="610">
        <f>טבלה38[[#This Row],[פימת קפה]]*טבלה38[[#This Row],[מחיר ליח'' כולל ]]</f>
        <v>0</v>
      </c>
      <c r="AB12" s="610">
        <f>טבלה38[[#This Row],[פת שחרית]]*טבלה38[[#This Row],[מחיר ליח'' כולל ]]</f>
        <v>0</v>
      </c>
      <c r="AC12" s="610">
        <f>טבלה38[[#This Row],[א. בוקר פריסה]]*טבלה38[[#This Row],[מחיר ליח'' כולל ]]</f>
        <v>0</v>
      </c>
      <c r="AD12" s="666">
        <f>טבלה38[[#This Row],[א. צהררים פריסה ]]*טבלה38[[#This Row],[מחיר ליח'' כולל ]]</f>
        <v>0</v>
      </c>
      <c r="AE12" s="666">
        <f>טבלה38[[#This Row],[בוקר קיטים]]*טבלה38[[#This Row],[מחיר ליח'' כולל ]]</f>
        <v>0</v>
      </c>
      <c r="AF12" s="666">
        <f>טבלה38[[#This Row],[צהריים קיטים]]*טבלה38[[#This Row],[מחיר ליח'' כולל ]]</f>
        <v>0</v>
      </c>
      <c r="AG12" s="666">
        <f>טבלה38[[#This Row],[פריסת אמצע]]*טבלה38[[#This Row],[מחיר ליח'' כולל ]]</f>
        <v>0</v>
      </c>
      <c r="AH12" s="666">
        <f>טבלה38[[#This Row],[מרק]]*טבלה38[[#This Row],[מחיר ליח'' כולל ]]</f>
        <v>0</v>
      </c>
      <c r="AI12" s="666">
        <f>טבלה38[[#This Row],[ערב בישול 1]]*טבלה38[[#This Row],[מחיר ליח'' כולל ]]</f>
        <v>0</v>
      </c>
      <c r="AJ12" s="666">
        <f>טבלה38[[#This Row],[ערב בישול 2]]*טבלה38[[#This Row],[מחיר ליח'' כולל ]]</f>
        <v>0</v>
      </c>
      <c r="AK12" s="666">
        <f>טבלה38[[#This Row],[ערב בישול 3]]*טבלה38[[#This Row],[מחיר ליח'' כולל ]]</f>
        <v>0</v>
      </c>
      <c r="AL12" s="666">
        <f>טבלה38[[#This Row],[ערב קטן 1]]*טבלה38[[#This Row],[מחיר ליח'' כולל ]]</f>
        <v>0</v>
      </c>
      <c r="AM12" s="666">
        <f>טבלה38[[#This Row],[ערב קטן 2]]*טבלה38[[#This Row],[מחיר ליח'' כולל ]]</f>
        <v>0</v>
      </c>
      <c r="AN12" s="666">
        <f>טבלה38[[#This Row],[ערב קטן 3]]*טבלה38[[#This Row],[מחיר ליח'' כולל ]]</f>
        <v>0</v>
      </c>
      <c r="AO12" s="666">
        <f>טבלה38[[#This Row],[קיטים מיוחדים]]*טבלה38[[#This Row],[מחיר ליח'' כולל ]]</f>
        <v>0</v>
      </c>
      <c r="AP12" s="666">
        <f>טבלה38[[#This Row],[תוספות]]*טבלה38[[#This Row],[מחיר ליח'' כולל ]]</f>
        <v>0</v>
      </c>
    </row>
    <row r="13" spans="2:42" ht="14.4">
      <c r="B13" s="651">
        <v>46</v>
      </c>
      <c r="C13" s="650" t="s">
        <v>1147</v>
      </c>
      <c r="D13" s="650" t="s">
        <v>602</v>
      </c>
      <c r="E13" s="650"/>
      <c r="F13" s="649" t="str">
        <f>IF(טבלה38[[#This Row],[סה"כ]]&gt;0,טבלה38[[#This Row],[סה"כ]],"")</f>
        <v/>
      </c>
      <c r="G13" s="656">
        <v>0.17</v>
      </c>
      <c r="H13" s="655">
        <f>טבלה38[[#This Row],[מחיר]]+טבלה38[[#This Row],[% מע"מ]]*טבלה38[[#This Row],[מחיר]]</f>
        <v>0</v>
      </c>
      <c r="I13" s="630">
        <f>טבלה38[[#This Row],[סה"כ]]*טבלה38[[#This Row],[מחיר ליח'' כולל ]]</f>
        <v>0</v>
      </c>
      <c r="J13" s="655">
        <f>SUM(טבלה38[[#This Row],[פימת קפה]:[תוספות]])</f>
        <v>0</v>
      </c>
      <c r="K13" s="655">
        <f>SUMIF(טבלה11517[מקט],טבלה38[[#This Row],[קוד מוצר]],טבלה11517[כמות])</f>
        <v>0</v>
      </c>
      <c r="L13" s="655">
        <f>SUMIF(טבלה115179[מקט],טבלה38[[#This Row],[קוד מוצר]],טבלה115179[כמות])</f>
        <v>0</v>
      </c>
      <c r="M13" s="655">
        <f>SUMIF(טבלה115[מקט],טבלה38[[#This Row],[קוד מוצר]],טבלה115[כמות])</f>
        <v>0</v>
      </c>
      <c r="N13" s="655">
        <f>SUMIF(טבלה1[מק"ט],טבלה38[[#This Row],[קוד מוצר]],טבלה1[כמות])</f>
        <v>0</v>
      </c>
      <c r="O13" s="655">
        <f>SUMIF(טבלה8[מק"ט],טבלה38[[#This Row],[קוד מוצר]],טבלה8[הזמנה])</f>
        <v>0</v>
      </c>
      <c r="P13" s="655">
        <f>SUMIF(טבלה15[מק"ט],טבלה38[[#This Row],[קוד מוצר]],טבלה15[הזמנה])</f>
        <v>0</v>
      </c>
      <c r="Q13" s="655">
        <f>SUMIF(טבלה1151718[מקט],טבלה38[[#This Row],[קוד מוצר]],טבלה1151718[כמות])</f>
        <v>0</v>
      </c>
      <c r="R13" s="655">
        <f>SUMIF(טבלה125[מקט],טבלה38[[#This Row],[קוד מוצר]],טבלה125[כמות])</f>
        <v>0</v>
      </c>
      <c r="S13" s="655">
        <f>SUMIF(טבלה33[מק"ט],טבלה38[[#This Row],[קוד מוצר]],טבלה33[הזמנה])</f>
        <v>0</v>
      </c>
      <c r="T13" s="655">
        <f>SUMIF(טבלה34[עמודה1],טבלה38[[#This Row],[קוד מוצר]],טבלה34[הזמנה])</f>
        <v>0</v>
      </c>
      <c r="U13" s="655">
        <f>SUMIF(טבלה35[עמודה1],טבלה38[[#This Row],[קוד מוצר]],טבלה35[הזמנה])</f>
        <v>0</v>
      </c>
      <c r="V13" s="655">
        <f>SUMIF(טבלה3338[מק"ט],טבלה38[[#This Row],[קוד מוצר]],טבלה3338[הזמנה])</f>
        <v>0</v>
      </c>
      <c r="W13" s="655">
        <f>SUMIF(טבלה3540[עמודה1],טבלה38[[#This Row],[קוד מוצר]],טבלה3540[הזמנה])</f>
        <v>0</v>
      </c>
      <c r="X13" s="655">
        <f>SUMIF(טבלה3441[עמודה1],טבלה38[[#This Row],[קוד מוצר]],טבלה3441[הזמנה])</f>
        <v>0</v>
      </c>
      <c r="Y13" s="655">
        <f>SUMIF(טבלה24[מקט],טבלה38[[#This Row],[קוד מוצר]],טבלה24[כמות])</f>
        <v>0</v>
      </c>
      <c r="Z13" s="655">
        <f>SUMIF(טבלה628[קוד מוצר],טבלה38[[#This Row],[קוד מוצר]],טבלה628[תוספת])</f>
        <v>0</v>
      </c>
      <c r="AA13" s="610">
        <f>טבלה38[[#This Row],[פימת קפה]]*טבלה38[[#This Row],[מחיר ליח'' כולל ]]</f>
        <v>0</v>
      </c>
      <c r="AB13" s="610">
        <f>טבלה38[[#This Row],[פת שחרית]]*טבלה38[[#This Row],[מחיר ליח'' כולל ]]</f>
        <v>0</v>
      </c>
      <c r="AC13" s="610">
        <f>טבלה38[[#This Row],[א. בוקר פריסה]]*טבלה38[[#This Row],[מחיר ליח'' כולל ]]</f>
        <v>0</v>
      </c>
      <c r="AD13" s="666">
        <f>טבלה38[[#This Row],[א. צהררים פריסה ]]*טבלה38[[#This Row],[מחיר ליח'' כולל ]]</f>
        <v>0</v>
      </c>
      <c r="AE13" s="666">
        <f>טבלה38[[#This Row],[בוקר קיטים]]*טבלה38[[#This Row],[מחיר ליח'' כולל ]]</f>
        <v>0</v>
      </c>
      <c r="AF13" s="666">
        <f>טבלה38[[#This Row],[צהריים קיטים]]*טבלה38[[#This Row],[מחיר ליח'' כולל ]]</f>
        <v>0</v>
      </c>
      <c r="AG13" s="666">
        <f>טבלה38[[#This Row],[פריסת אמצע]]*טבלה38[[#This Row],[מחיר ליח'' כולל ]]</f>
        <v>0</v>
      </c>
      <c r="AH13" s="666">
        <f>טבלה38[[#This Row],[מרק]]*טבלה38[[#This Row],[מחיר ליח'' כולל ]]</f>
        <v>0</v>
      </c>
      <c r="AI13" s="666">
        <f>טבלה38[[#This Row],[ערב בישול 1]]*טבלה38[[#This Row],[מחיר ליח'' כולל ]]</f>
        <v>0</v>
      </c>
      <c r="AJ13" s="666">
        <f>טבלה38[[#This Row],[ערב בישול 2]]*טבלה38[[#This Row],[מחיר ליח'' כולל ]]</f>
        <v>0</v>
      </c>
      <c r="AK13" s="666">
        <f>טבלה38[[#This Row],[ערב בישול 3]]*טבלה38[[#This Row],[מחיר ליח'' כולל ]]</f>
        <v>0</v>
      </c>
      <c r="AL13" s="666">
        <f>טבלה38[[#This Row],[ערב קטן 1]]*טבלה38[[#This Row],[מחיר ליח'' כולל ]]</f>
        <v>0</v>
      </c>
      <c r="AM13" s="666">
        <f>טבלה38[[#This Row],[ערב קטן 2]]*טבלה38[[#This Row],[מחיר ליח'' כולל ]]</f>
        <v>0</v>
      </c>
      <c r="AN13" s="666">
        <f>טבלה38[[#This Row],[ערב קטן 3]]*טבלה38[[#This Row],[מחיר ליח'' כולל ]]</f>
        <v>0</v>
      </c>
      <c r="AO13" s="666">
        <f>טבלה38[[#This Row],[קיטים מיוחדים]]*טבלה38[[#This Row],[מחיר ליח'' כולל ]]</f>
        <v>0</v>
      </c>
      <c r="AP13" s="666">
        <f>טבלה38[[#This Row],[תוספות]]*טבלה38[[#This Row],[מחיר ליח'' כולל ]]</f>
        <v>0</v>
      </c>
    </row>
    <row r="14" spans="2:42" ht="14.4">
      <c r="B14" s="651">
        <v>142</v>
      </c>
      <c r="C14" s="650" t="s">
        <v>366</v>
      </c>
      <c r="D14" s="650" t="s">
        <v>602</v>
      </c>
      <c r="E14" s="650"/>
      <c r="F14" s="649" t="str">
        <f>IF(טבלה38[[#This Row],[סה"כ]]&gt;0,טבלה38[[#This Row],[סה"כ]],"")</f>
        <v/>
      </c>
      <c r="G14" s="656">
        <v>0</v>
      </c>
      <c r="H14" s="655">
        <f>טבלה38[[#This Row],[מחיר]]+טבלה38[[#This Row],[% מע"מ]]*טבלה38[[#This Row],[מחיר]]</f>
        <v>0</v>
      </c>
      <c r="I14" s="630">
        <f>טבלה38[[#This Row],[סה"כ]]*טבלה38[[#This Row],[מחיר ליח'' כולל ]]</f>
        <v>0</v>
      </c>
      <c r="J14" s="655">
        <f>SUM(טבלה38[[#This Row],[פימת קפה]:[תוספות]])</f>
        <v>0</v>
      </c>
      <c r="K14" s="655">
        <f>SUMIF(טבלה11517[מקט],טבלה38[[#This Row],[קוד מוצר]],טבלה11517[כמות])</f>
        <v>0</v>
      </c>
      <c r="L14" s="655">
        <f>SUMIF(טבלה115179[מקט],טבלה38[[#This Row],[קוד מוצר]],טבלה115179[כמות])</f>
        <v>0</v>
      </c>
      <c r="M14" s="655">
        <f>SUMIF(טבלה115[מקט],טבלה38[[#This Row],[קוד מוצר]],טבלה115[כמות])</f>
        <v>0</v>
      </c>
      <c r="N14" s="655">
        <f>SUMIF(טבלה1[מק"ט],טבלה38[[#This Row],[קוד מוצר]],טבלה1[כמות])</f>
        <v>0</v>
      </c>
      <c r="O14" s="655">
        <f>SUMIF(טבלה8[מק"ט],טבלה38[[#This Row],[קוד מוצר]],טבלה8[הזמנה])</f>
        <v>0</v>
      </c>
      <c r="P14" s="655">
        <f>SUMIF(טבלה15[מק"ט],טבלה38[[#This Row],[קוד מוצר]],טבלה15[הזמנה])</f>
        <v>0</v>
      </c>
      <c r="Q14" s="655">
        <f>SUMIF(טבלה1151718[מקט],טבלה38[[#This Row],[קוד מוצר]],טבלה1151718[כמות])</f>
        <v>0</v>
      </c>
      <c r="R14" s="655">
        <f>SUMIF(טבלה125[מקט],טבלה38[[#This Row],[קוד מוצר]],טבלה125[כמות])</f>
        <v>0</v>
      </c>
      <c r="S14" s="655">
        <f>SUMIF(טבלה33[מק"ט],טבלה38[[#This Row],[קוד מוצר]],טבלה33[הזמנה])</f>
        <v>0</v>
      </c>
      <c r="T14" s="655">
        <f>SUMIF(טבלה34[עמודה1],טבלה38[[#This Row],[קוד מוצר]],טבלה34[הזמנה])</f>
        <v>0</v>
      </c>
      <c r="U14" s="655">
        <f>SUMIF(טבלה35[עמודה1],טבלה38[[#This Row],[קוד מוצר]],טבלה35[הזמנה])</f>
        <v>0</v>
      </c>
      <c r="V14" s="655">
        <f>SUMIF(טבלה3338[מק"ט],טבלה38[[#This Row],[קוד מוצר]],טבלה3338[הזמנה])</f>
        <v>0</v>
      </c>
      <c r="W14" s="655">
        <f>SUMIF(טבלה3540[עמודה1],טבלה38[[#This Row],[קוד מוצר]],טבלה3540[הזמנה])</f>
        <v>0</v>
      </c>
      <c r="X14" s="655">
        <f>SUMIF(טבלה3441[עמודה1],טבלה38[[#This Row],[קוד מוצר]],טבלה3441[הזמנה])</f>
        <v>0</v>
      </c>
      <c r="Y14" s="655">
        <f>SUMIF(טבלה24[מקט],טבלה38[[#This Row],[קוד מוצר]],טבלה24[כמות])</f>
        <v>0</v>
      </c>
      <c r="Z14" s="655">
        <f>SUMIF(טבלה628[קוד מוצר],טבלה38[[#This Row],[קוד מוצר]],טבלה628[תוספת])</f>
        <v>0</v>
      </c>
      <c r="AA14" s="610">
        <f>טבלה38[[#This Row],[פימת קפה]]*טבלה38[[#This Row],[מחיר ליח'' כולל ]]</f>
        <v>0</v>
      </c>
      <c r="AB14" s="610">
        <f>טבלה38[[#This Row],[פת שחרית]]*טבלה38[[#This Row],[מחיר ליח'' כולל ]]</f>
        <v>0</v>
      </c>
      <c r="AC14" s="610">
        <f>טבלה38[[#This Row],[א. בוקר פריסה]]*טבלה38[[#This Row],[מחיר ליח'' כולל ]]</f>
        <v>0</v>
      </c>
      <c r="AD14" s="666">
        <f>טבלה38[[#This Row],[א. צהררים פריסה ]]*טבלה38[[#This Row],[מחיר ליח'' כולל ]]</f>
        <v>0</v>
      </c>
      <c r="AE14" s="666">
        <f>טבלה38[[#This Row],[בוקר קיטים]]*טבלה38[[#This Row],[מחיר ליח'' כולל ]]</f>
        <v>0</v>
      </c>
      <c r="AF14" s="666">
        <f>טבלה38[[#This Row],[צהריים קיטים]]*טבלה38[[#This Row],[מחיר ליח'' כולל ]]</f>
        <v>0</v>
      </c>
      <c r="AG14" s="666">
        <f>טבלה38[[#This Row],[פריסת אמצע]]*טבלה38[[#This Row],[מחיר ליח'' כולל ]]</f>
        <v>0</v>
      </c>
      <c r="AH14" s="666">
        <f>טבלה38[[#This Row],[מרק]]*טבלה38[[#This Row],[מחיר ליח'' כולל ]]</f>
        <v>0</v>
      </c>
      <c r="AI14" s="666">
        <f>טבלה38[[#This Row],[ערב בישול 1]]*טבלה38[[#This Row],[מחיר ליח'' כולל ]]</f>
        <v>0</v>
      </c>
      <c r="AJ14" s="666">
        <f>טבלה38[[#This Row],[ערב בישול 2]]*טבלה38[[#This Row],[מחיר ליח'' כולל ]]</f>
        <v>0</v>
      </c>
      <c r="AK14" s="666">
        <f>טבלה38[[#This Row],[ערב בישול 3]]*טבלה38[[#This Row],[מחיר ליח'' כולל ]]</f>
        <v>0</v>
      </c>
      <c r="AL14" s="666">
        <f>טבלה38[[#This Row],[ערב קטן 1]]*טבלה38[[#This Row],[מחיר ליח'' כולל ]]</f>
        <v>0</v>
      </c>
      <c r="AM14" s="666">
        <f>טבלה38[[#This Row],[ערב קטן 2]]*טבלה38[[#This Row],[מחיר ליח'' כולל ]]</f>
        <v>0</v>
      </c>
      <c r="AN14" s="666">
        <f>טבלה38[[#This Row],[ערב קטן 3]]*טבלה38[[#This Row],[מחיר ליח'' כולל ]]</f>
        <v>0</v>
      </c>
      <c r="AO14" s="666">
        <f>טבלה38[[#This Row],[קיטים מיוחדים]]*טבלה38[[#This Row],[מחיר ליח'' כולל ]]</f>
        <v>0</v>
      </c>
      <c r="AP14" s="666">
        <f>טבלה38[[#This Row],[תוספות]]*טבלה38[[#This Row],[מחיר ליח'' כולל ]]</f>
        <v>0</v>
      </c>
    </row>
    <row r="15" spans="2:42" ht="14.4">
      <c r="B15" s="651">
        <v>309</v>
      </c>
      <c r="C15" s="650" t="s">
        <v>372</v>
      </c>
      <c r="D15" s="650" t="s">
        <v>8</v>
      </c>
      <c r="E15" s="650"/>
      <c r="F15" s="649" t="str">
        <f>IF(טבלה38[[#This Row],[סה"כ]]&gt;0,טבלה38[[#This Row],[סה"כ]],"")</f>
        <v/>
      </c>
      <c r="G15" s="656">
        <v>0</v>
      </c>
      <c r="H15" s="655">
        <f>טבלה38[[#This Row],[מחיר]]+טבלה38[[#This Row],[% מע"מ]]*טבלה38[[#This Row],[מחיר]]</f>
        <v>0</v>
      </c>
      <c r="I15" s="630">
        <f>טבלה38[[#This Row],[סה"כ]]*טבלה38[[#This Row],[מחיר ליח'' כולל ]]</f>
        <v>0</v>
      </c>
      <c r="J15" s="655">
        <f>SUM(טבלה38[[#This Row],[פימת קפה]:[תוספות]])</f>
        <v>0</v>
      </c>
      <c r="K15" s="655">
        <f>SUMIF(טבלה11517[מקט],טבלה38[[#This Row],[קוד מוצר]],טבלה11517[כמות])</f>
        <v>0</v>
      </c>
      <c r="L15" s="655">
        <f>SUMIF(טבלה115179[מקט],טבלה38[[#This Row],[קוד מוצר]],טבלה115179[כמות])</f>
        <v>0</v>
      </c>
      <c r="M15" s="655">
        <f>SUMIF(טבלה115[מקט],טבלה38[[#This Row],[קוד מוצר]],טבלה115[כמות])</f>
        <v>0</v>
      </c>
      <c r="N15" s="655">
        <f>SUMIF(טבלה1[מק"ט],טבלה38[[#This Row],[קוד מוצר]],טבלה1[כמות])</f>
        <v>0</v>
      </c>
      <c r="O15" s="655">
        <f>SUMIF(טבלה8[מק"ט],טבלה38[[#This Row],[קוד מוצר]],טבלה8[הזמנה])</f>
        <v>0</v>
      </c>
      <c r="P15" s="655">
        <f>SUMIF(טבלה15[מק"ט],טבלה38[[#This Row],[קוד מוצר]],טבלה15[הזמנה])</f>
        <v>0</v>
      </c>
      <c r="Q15" s="655">
        <f>SUMIF(טבלה1151718[מקט],טבלה38[[#This Row],[קוד מוצר]],טבלה1151718[כמות])</f>
        <v>0</v>
      </c>
      <c r="R15" s="655">
        <f>SUMIF(טבלה125[מקט],טבלה38[[#This Row],[קוד מוצר]],טבלה125[כמות])</f>
        <v>0</v>
      </c>
      <c r="S15" s="655">
        <f>SUMIF(טבלה33[מק"ט],טבלה38[[#This Row],[קוד מוצר]],טבלה33[הזמנה])</f>
        <v>0</v>
      </c>
      <c r="T15" s="655">
        <f>SUMIF(טבלה34[עמודה1],טבלה38[[#This Row],[קוד מוצר]],טבלה34[הזמנה])</f>
        <v>0</v>
      </c>
      <c r="U15" s="655">
        <f>SUMIF(טבלה35[עמודה1],טבלה38[[#This Row],[קוד מוצר]],טבלה35[הזמנה])</f>
        <v>0</v>
      </c>
      <c r="V15" s="655">
        <f>SUMIF(טבלה3338[מק"ט],טבלה38[[#This Row],[קוד מוצר]],טבלה3338[הזמנה])</f>
        <v>0</v>
      </c>
      <c r="W15" s="655">
        <f>SUMIF(טבלה3540[עמודה1],טבלה38[[#This Row],[קוד מוצר]],טבלה3540[הזמנה])</f>
        <v>0</v>
      </c>
      <c r="X15" s="655">
        <f>SUMIF(טבלה3441[עמודה1],טבלה38[[#This Row],[קוד מוצר]],טבלה3441[הזמנה])</f>
        <v>0</v>
      </c>
      <c r="Y15" s="655">
        <f>SUMIF(טבלה24[מקט],טבלה38[[#This Row],[קוד מוצר]],טבלה24[כמות])</f>
        <v>0</v>
      </c>
      <c r="Z15" s="655">
        <f>SUMIF(טבלה628[קוד מוצר],טבלה38[[#This Row],[קוד מוצר]],טבלה628[תוספת])</f>
        <v>0</v>
      </c>
      <c r="AA15" s="610">
        <f>טבלה38[[#This Row],[פימת קפה]]*טבלה38[[#This Row],[מחיר ליח'' כולל ]]</f>
        <v>0</v>
      </c>
      <c r="AB15" s="610">
        <f>טבלה38[[#This Row],[פת שחרית]]*טבלה38[[#This Row],[מחיר ליח'' כולל ]]</f>
        <v>0</v>
      </c>
      <c r="AC15" s="610">
        <f>טבלה38[[#This Row],[א. בוקר פריסה]]*טבלה38[[#This Row],[מחיר ליח'' כולל ]]</f>
        <v>0</v>
      </c>
      <c r="AD15" s="666">
        <f>טבלה38[[#This Row],[א. צהררים פריסה ]]*טבלה38[[#This Row],[מחיר ליח'' כולל ]]</f>
        <v>0</v>
      </c>
      <c r="AE15" s="666">
        <f>טבלה38[[#This Row],[בוקר קיטים]]*טבלה38[[#This Row],[מחיר ליח'' כולל ]]</f>
        <v>0</v>
      </c>
      <c r="AF15" s="666">
        <f>טבלה38[[#This Row],[צהריים קיטים]]*טבלה38[[#This Row],[מחיר ליח'' כולל ]]</f>
        <v>0</v>
      </c>
      <c r="AG15" s="666">
        <f>טבלה38[[#This Row],[פריסת אמצע]]*טבלה38[[#This Row],[מחיר ליח'' כולל ]]</f>
        <v>0</v>
      </c>
      <c r="AH15" s="666">
        <f>טבלה38[[#This Row],[מרק]]*טבלה38[[#This Row],[מחיר ליח'' כולל ]]</f>
        <v>0</v>
      </c>
      <c r="AI15" s="666">
        <f>טבלה38[[#This Row],[ערב בישול 1]]*טבלה38[[#This Row],[מחיר ליח'' כולל ]]</f>
        <v>0</v>
      </c>
      <c r="AJ15" s="666">
        <f>טבלה38[[#This Row],[ערב בישול 2]]*טבלה38[[#This Row],[מחיר ליח'' כולל ]]</f>
        <v>0</v>
      </c>
      <c r="AK15" s="666">
        <f>טבלה38[[#This Row],[ערב בישול 3]]*טבלה38[[#This Row],[מחיר ליח'' כולל ]]</f>
        <v>0</v>
      </c>
      <c r="AL15" s="666">
        <f>טבלה38[[#This Row],[ערב קטן 1]]*טבלה38[[#This Row],[מחיר ליח'' כולל ]]</f>
        <v>0</v>
      </c>
      <c r="AM15" s="666">
        <f>טבלה38[[#This Row],[ערב קטן 2]]*טבלה38[[#This Row],[מחיר ליח'' כולל ]]</f>
        <v>0</v>
      </c>
      <c r="AN15" s="666">
        <f>טבלה38[[#This Row],[ערב קטן 3]]*טבלה38[[#This Row],[מחיר ליח'' כולל ]]</f>
        <v>0</v>
      </c>
      <c r="AO15" s="666">
        <f>טבלה38[[#This Row],[קיטים מיוחדים]]*טבלה38[[#This Row],[מחיר ליח'' כולל ]]</f>
        <v>0</v>
      </c>
      <c r="AP15" s="666">
        <f>טבלה38[[#This Row],[תוספות]]*טבלה38[[#This Row],[מחיר ליח'' כולל ]]</f>
        <v>0</v>
      </c>
    </row>
    <row r="16" spans="2:42" ht="14.4">
      <c r="B16" s="651">
        <v>6600</v>
      </c>
      <c r="C16" s="650" t="s">
        <v>990</v>
      </c>
      <c r="D16" s="650" t="s">
        <v>602</v>
      </c>
      <c r="E16" s="650"/>
      <c r="F16" s="649" t="str">
        <f>IF(טבלה38[[#This Row],[סה"כ]]&gt;0,טבלה38[[#This Row],[סה"כ]],"")</f>
        <v/>
      </c>
      <c r="G16" s="656">
        <v>0.17</v>
      </c>
      <c r="H16" s="655">
        <f>טבלה38[[#This Row],[מחיר]]+טבלה38[[#This Row],[% מע"מ]]*טבלה38[[#This Row],[מחיר]]</f>
        <v>0</v>
      </c>
      <c r="I16" s="630">
        <f>טבלה38[[#This Row],[סה"כ]]*טבלה38[[#This Row],[מחיר ליח'' כולל ]]</f>
        <v>0</v>
      </c>
      <c r="J16" s="655">
        <f>SUM(טבלה38[[#This Row],[פימת קפה]:[תוספות]])</f>
        <v>0</v>
      </c>
      <c r="K16" s="655">
        <f>SUMIF(טבלה11517[מקט],טבלה38[[#This Row],[קוד מוצר]],טבלה11517[כמות])</f>
        <v>0</v>
      </c>
      <c r="L16" s="655">
        <f>SUMIF(טבלה115179[מקט],טבלה38[[#This Row],[קוד מוצר]],טבלה115179[כמות])</f>
        <v>0</v>
      </c>
      <c r="M16" s="655">
        <f>SUMIF(טבלה115[מקט],טבלה38[[#This Row],[קוד מוצר]],טבלה115[כמות])</f>
        <v>0</v>
      </c>
      <c r="N16" s="655">
        <f>SUMIF(טבלה1[מק"ט],טבלה38[[#This Row],[קוד מוצר]],טבלה1[כמות])</f>
        <v>0</v>
      </c>
      <c r="O16" s="655">
        <f>SUMIF(טבלה8[מק"ט],טבלה38[[#This Row],[קוד מוצר]],טבלה8[הזמנה])</f>
        <v>0</v>
      </c>
      <c r="P16" s="655">
        <f>SUMIF(טבלה15[מק"ט],טבלה38[[#This Row],[קוד מוצר]],טבלה15[הזמנה])</f>
        <v>0</v>
      </c>
      <c r="Q16" s="655">
        <f>SUMIF(טבלה1151718[מקט],טבלה38[[#This Row],[קוד מוצר]],טבלה1151718[כמות])</f>
        <v>0</v>
      </c>
      <c r="R16" s="655">
        <f>SUMIF(טבלה125[מקט],טבלה38[[#This Row],[קוד מוצר]],טבלה125[כמות])</f>
        <v>0</v>
      </c>
      <c r="S16" s="655">
        <f>SUMIF(טבלה33[מק"ט],טבלה38[[#This Row],[קוד מוצר]],טבלה33[הזמנה])</f>
        <v>0</v>
      </c>
      <c r="T16" s="655">
        <f>SUMIF(טבלה34[עמודה1],טבלה38[[#This Row],[קוד מוצר]],טבלה34[הזמנה])</f>
        <v>0</v>
      </c>
      <c r="U16" s="655">
        <f>SUMIF(טבלה35[עמודה1],טבלה38[[#This Row],[קוד מוצר]],טבלה35[הזמנה])</f>
        <v>0</v>
      </c>
      <c r="V16" s="655">
        <f>SUMIF(טבלה3338[מק"ט],טבלה38[[#This Row],[קוד מוצר]],טבלה3338[הזמנה])</f>
        <v>0</v>
      </c>
      <c r="W16" s="655">
        <f>SUMIF(טבלה3540[עמודה1],טבלה38[[#This Row],[קוד מוצר]],טבלה3540[הזמנה])</f>
        <v>0</v>
      </c>
      <c r="X16" s="655">
        <f>SUMIF(טבלה3441[עמודה1],טבלה38[[#This Row],[קוד מוצר]],טבלה3441[הזמנה])</f>
        <v>0</v>
      </c>
      <c r="Y16" s="655">
        <f>SUMIF(טבלה24[מקט],טבלה38[[#This Row],[קוד מוצר]],טבלה24[כמות])</f>
        <v>0</v>
      </c>
      <c r="Z16" s="655">
        <f>SUMIF(טבלה628[קוד מוצר],טבלה38[[#This Row],[קוד מוצר]],טבלה628[תוספת])</f>
        <v>0</v>
      </c>
      <c r="AA16" s="610">
        <f>טבלה38[[#This Row],[פימת קפה]]*טבלה38[[#This Row],[מחיר ליח'' כולל ]]</f>
        <v>0</v>
      </c>
      <c r="AB16" s="610">
        <f>טבלה38[[#This Row],[פת שחרית]]*טבלה38[[#This Row],[מחיר ליח'' כולל ]]</f>
        <v>0</v>
      </c>
      <c r="AC16" s="610">
        <f>טבלה38[[#This Row],[א. בוקר פריסה]]*טבלה38[[#This Row],[מחיר ליח'' כולל ]]</f>
        <v>0</v>
      </c>
      <c r="AD16" s="666">
        <f>טבלה38[[#This Row],[א. צהררים פריסה ]]*טבלה38[[#This Row],[מחיר ליח'' כולל ]]</f>
        <v>0</v>
      </c>
      <c r="AE16" s="666">
        <f>טבלה38[[#This Row],[בוקר קיטים]]*טבלה38[[#This Row],[מחיר ליח'' כולל ]]</f>
        <v>0</v>
      </c>
      <c r="AF16" s="666">
        <f>טבלה38[[#This Row],[צהריים קיטים]]*טבלה38[[#This Row],[מחיר ליח'' כולל ]]</f>
        <v>0</v>
      </c>
      <c r="AG16" s="666">
        <f>טבלה38[[#This Row],[פריסת אמצע]]*טבלה38[[#This Row],[מחיר ליח'' כולל ]]</f>
        <v>0</v>
      </c>
      <c r="AH16" s="666">
        <f>טבלה38[[#This Row],[מרק]]*טבלה38[[#This Row],[מחיר ליח'' כולל ]]</f>
        <v>0</v>
      </c>
      <c r="AI16" s="666">
        <f>טבלה38[[#This Row],[ערב בישול 1]]*טבלה38[[#This Row],[מחיר ליח'' כולל ]]</f>
        <v>0</v>
      </c>
      <c r="AJ16" s="666">
        <f>טבלה38[[#This Row],[ערב בישול 2]]*טבלה38[[#This Row],[מחיר ליח'' כולל ]]</f>
        <v>0</v>
      </c>
      <c r="AK16" s="666">
        <f>טבלה38[[#This Row],[ערב בישול 3]]*טבלה38[[#This Row],[מחיר ליח'' כולל ]]</f>
        <v>0</v>
      </c>
      <c r="AL16" s="666">
        <f>טבלה38[[#This Row],[ערב קטן 1]]*טבלה38[[#This Row],[מחיר ליח'' כולל ]]</f>
        <v>0</v>
      </c>
      <c r="AM16" s="666">
        <f>טבלה38[[#This Row],[ערב קטן 2]]*טבלה38[[#This Row],[מחיר ליח'' כולל ]]</f>
        <v>0</v>
      </c>
      <c r="AN16" s="666">
        <f>טבלה38[[#This Row],[ערב קטן 3]]*טבלה38[[#This Row],[מחיר ליח'' כולל ]]</f>
        <v>0</v>
      </c>
      <c r="AO16" s="666">
        <f>טבלה38[[#This Row],[קיטים מיוחדים]]*טבלה38[[#This Row],[מחיר ליח'' כולל ]]</f>
        <v>0</v>
      </c>
      <c r="AP16" s="666">
        <f>טבלה38[[#This Row],[תוספות]]*טבלה38[[#This Row],[מחיר ליח'' כולל ]]</f>
        <v>0</v>
      </c>
    </row>
    <row r="17" spans="2:42" ht="14.4">
      <c r="B17" s="651">
        <v>8467</v>
      </c>
      <c r="C17" s="650" t="s">
        <v>1136</v>
      </c>
      <c r="E17" s="650"/>
      <c r="F17" s="649" t="str">
        <f>IF(טבלה38[[#This Row],[סה"כ]]&gt;0,טבלה38[[#This Row],[סה"כ]],"")</f>
        <v/>
      </c>
      <c r="G17" s="656">
        <v>0.17</v>
      </c>
      <c r="H17" s="655">
        <f>טבלה38[[#This Row],[מחיר]]+טבלה38[[#This Row],[% מע"מ]]*טבלה38[[#This Row],[מחיר]]</f>
        <v>0</v>
      </c>
      <c r="I17" s="630">
        <f>טבלה38[[#This Row],[סה"כ]]*טבלה38[[#This Row],[מחיר ליח'' כולל ]]</f>
        <v>0</v>
      </c>
      <c r="J17" s="655">
        <f>SUM(טבלה38[[#This Row],[פימת קפה]:[תוספות]])</f>
        <v>0</v>
      </c>
      <c r="K17" s="655">
        <f>SUMIF(טבלה11517[מקט],טבלה38[[#This Row],[קוד מוצר]],טבלה11517[כמות])</f>
        <v>0</v>
      </c>
      <c r="L17" s="655">
        <f>SUMIF(טבלה115179[מקט],טבלה38[[#This Row],[קוד מוצר]],טבלה115179[כמות])</f>
        <v>0</v>
      </c>
      <c r="M17" s="655">
        <f>SUMIF(טבלה115[מקט],טבלה38[[#This Row],[קוד מוצר]],טבלה115[כמות])</f>
        <v>0</v>
      </c>
      <c r="N17" s="655">
        <f>SUMIF(טבלה1[מק"ט],טבלה38[[#This Row],[קוד מוצר]],טבלה1[כמות])</f>
        <v>0</v>
      </c>
      <c r="O17" s="655">
        <f>SUMIF(טבלה8[מק"ט],טבלה38[[#This Row],[קוד מוצר]],טבלה8[הזמנה])</f>
        <v>0</v>
      </c>
      <c r="P17" s="655">
        <f>SUMIF(טבלה15[מק"ט],טבלה38[[#This Row],[קוד מוצר]],טבלה15[הזמנה])</f>
        <v>0</v>
      </c>
      <c r="Q17" s="655">
        <f>SUMIF(טבלה1151718[מקט],טבלה38[[#This Row],[קוד מוצר]],טבלה1151718[כמות])</f>
        <v>0</v>
      </c>
      <c r="R17" s="655">
        <f>SUMIF(טבלה125[מקט],טבלה38[[#This Row],[קוד מוצר]],טבלה125[כמות])</f>
        <v>0</v>
      </c>
      <c r="S17" s="655">
        <f>SUMIF(טבלה33[מק"ט],טבלה38[[#This Row],[קוד מוצר]],טבלה33[הזמנה])</f>
        <v>0</v>
      </c>
      <c r="T17" s="655">
        <f>SUMIF(טבלה34[עמודה1],טבלה38[[#This Row],[קוד מוצר]],טבלה34[הזמנה])</f>
        <v>0</v>
      </c>
      <c r="U17" s="655">
        <f>SUMIF(טבלה35[עמודה1],טבלה38[[#This Row],[קוד מוצר]],טבלה35[הזמנה])</f>
        <v>0</v>
      </c>
      <c r="V17" s="655">
        <f>SUMIF(טבלה3338[מק"ט],טבלה38[[#This Row],[קוד מוצר]],טבלה3338[הזמנה])</f>
        <v>0</v>
      </c>
      <c r="W17" s="655">
        <f>SUMIF(טבלה3540[עמודה1],טבלה38[[#This Row],[קוד מוצר]],טבלה3540[הזמנה])</f>
        <v>0</v>
      </c>
      <c r="X17" s="655">
        <f>SUMIF(טבלה3441[עמודה1],טבלה38[[#This Row],[קוד מוצר]],טבלה3441[הזמנה])</f>
        <v>0</v>
      </c>
      <c r="Y17" s="655">
        <f>SUMIF(טבלה24[מקט],טבלה38[[#This Row],[קוד מוצר]],טבלה24[כמות])</f>
        <v>0</v>
      </c>
      <c r="Z17" s="655">
        <f>SUMIF(טבלה628[קוד מוצר],טבלה38[[#This Row],[קוד מוצר]],טבלה628[תוספת])</f>
        <v>0</v>
      </c>
      <c r="AA17" s="610">
        <f>טבלה38[[#This Row],[פימת קפה]]*טבלה38[[#This Row],[מחיר ליח'' כולל ]]</f>
        <v>0</v>
      </c>
      <c r="AB17" s="610">
        <f>טבלה38[[#This Row],[פת שחרית]]*טבלה38[[#This Row],[מחיר ליח'' כולל ]]</f>
        <v>0</v>
      </c>
      <c r="AC17" s="610">
        <f>טבלה38[[#This Row],[א. בוקר פריסה]]*טבלה38[[#This Row],[מחיר ליח'' כולל ]]</f>
        <v>0</v>
      </c>
      <c r="AD17" s="666">
        <f>טבלה38[[#This Row],[א. צהררים פריסה ]]*טבלה38[[#This Row],[מחיר ליח'' כולל ]]</f>
        <v>0</v>
      </c>
      <c r="AE17" s="666">
        <f>טבלה38[[#This Row],[בוקר קיטים]]*טבלה38[[#This Row],[מחיר ליח'' כולל ]]</f>
        <v>0</v>
      </c>
      <c r="AF17" s="666">
        <f>טבלה38[[#This Row],[צהריים קיטים]]*טבלה38[[#This Row],[מחיר ליח'' כולל ]]</f>
        <v>0</v>
      </c>
      <c r="AG17" s="666">
        <f>טבלה38[[#This Row],[פריסת אמצע]]*טבלה38[[#This Row],[מחיר ליח'' כולל ]]</f>
        <v>0</v>
      </c>
      <c r="AH17" s="666">
        <f>טבלה38[[#This Row],[מרק]]*טבלה38[[#This Row],[מחיר ליח'' כולל ]]</f>
        <v>0</v>
      </c>
      <c r="AI17" s="666">
        <f>טבלה38[[#This Row],[ערב בישול 1]]*טבלה38[[#This Row],[מחיר ליח'' כולל ]]</f>
        <v>0</v>
      </c>
      <c r="AJ17" s="666">
        <f>טבלה38[[#This Row],[ערב בישול 2]]*טבלה38[[#This Row],[מחיר ליח'' כולל ]]</f>
        <v>0</v>
      </c>
      <c r="AK17" s="666">
        <f>טבלה38[[#This Row],[ערב בישול 3]]*טבלה38[[#This Row],[מחיר ליח'' כולל ]]</f>
        <v>0</v>
      </c>
      <c r="AL17" s="666">
        <f>טבלה38[[#This Row],[ערב קטן 1]]*טבלה38[[#This Row],[מחיר ליח'' כולל ]]</f>
        <v>0</v>
      </c>
      <c r="AM17" s="666">
        <f>טבלה38[[#This Row],[ערב קטן 2]]*טבלה38[[#This Row],[מחיר ליח'' כולל ]]</f>
        <v>0</v>
      </c>
      <c r="AN17" s="666">
        <f>טבלה38[[#This Row],[ערב קטן 3]]*טבלה38[[#This Row],[מחיר ליח'' כולל ]]</f>
        <v>0</v>
      </c>
      <c r="AO17" s="666">
        <f>טבלה38[[#This Row],[קיטים מיוחדים]]*טבלה38[[#This Row],[מחיר ליח'' כולל ]]</f>
        <v>0</v>
      </c>
      <c r="AP17" s="666">
        <f>טבלה38[[#This Row],[תוספות]]*טבלה38[[#This Row],[מחיר ליח'' כולל ]]</f>
        <v>0</v>
      </c>
    </row>
    <row r="18" spans="2:42" ht="14.4">
      <c r="B18" s="651">
        <v>9383</v>
      </c>
      <c r="C18" s="650" t="s">
        <v>1116</v>
      </c>
      <c r="E18" s="650"/>
      <c r="F18" s="649" t="str">
        <f>IF(טבלה38[[#This Row],[סה"כ]]&gt;0,טבלה38[[#This Row],[סה"כ]],"")</f>
        <v/>
      </c>
      <c r="G18" s="656">
        <v>0.17</v>
      </c>
      <c r="H18" s="655">
        <f>טבלה38[[#This Row],[מחיר]]+טבלה38[[#This Row],[% מע"מ]]*טבלה38[[#This Row],[מחיר]]</f>
        <v>0</v>
      </c>
      <c r="I18" s="630">
        <f>טבלה38[[#This Row],[סה"כ]]*טבלה38[[#This Row],[מחיר ליח'' כולל ]]</f>
        <v>0</v>
      </c>
      <c r="J18" s="655">
        <f>SUM(טבלה38[[#This Row],[פימת קפה]:[תוספות]])</f>
        <v>0</v>
      </c>
      <c r="K18" s="655">
        <f>SUMIF(טבלה11517[מקט],טבלה38[[#This Row],[קוד מוצר]],טבלה11517[כמות])</f>
        <v>0</v>
      </c>
      <c r="L18" s="655">
        <f>SUMIF(טבלה115179[מקט],טבלה38[[#This Row],[קוד מוצר]],טבלה115179[כמות])</f>
        <v>0</v>
      </c>
      <c r="M18" s="655">
        <f>SUMIF(טבלה115[מקט],טבלה38[[#This Row],[קוד מוצר]],טבלה115[כמות])</f>
        <v>0</v>
      </c>
      <c r="N18" s="655">
        <f>SUMIF(טבלה1[מק"ט],טבלה38[[#This Row],[קוד מוצר]],טבלה1[כמות])</f>
        <v>0</v>
      </c>
      <c r="O18" s="655">
        <f>SUMIF(טבלה8[מק"ט],טבלה38[[#This Row],[קוד מוצר]],טבלה8[הזמנה])</f>
        <v>0</v>
      </c>
      <c r="P18" s="655">
        <f>SUMIF(טבלה15[מק"ט],טבלה38[[#This Row],[קוד מוצר]],טבלה15[הזמנה])</f>
        <v>0</v>
      </c>
      <c r="Q18" s="655">
        <f>SUMIF(טבלה1151718[מקט],טבלה38[[#This Row],[קוד מוצר]],טבלה1151718[כמות])</f>
        <v>0</v>
      </c>
      <c r="R18" s="655">
        <f>SUMIF(טבלה125[מקט],טבלה38[[#This Row],[קוד מוצר]],טבלה125[כמות])</f>
        <v>0</v>
      </c>
      <c r="S18" s="655">
        <f>SUMIF(טבלה33[מק"ט],טבלה38[[#This Row],[קוד מוצר]],טבלה33[הזמנה])</f>
        <v>0</v>
      </c>
      <c r="T18" s="655">
        <f>SUMIF(טבלה34[עמודה1],טבלה38[[#This Row],[קוד מוצר]],טבלה34[הזמנה])</f>
        <v>0</v>
      </c>
      <c r="U18" s="655">
        <f>SUMIF(טבלה35[עמודה1],טבלה38[[#This Row],[קוד מוצר]],טבלה35[הזמנה])</f>
        <v>0</v>
      </c>
      <c r="V18" s="655">
        <f>SUMIF(טבלה3338[מק"ט],טבלה38[[#This Row],[קוד מוצר]],טבלה3338[הזמנה])</f>
        <v>0</v>
      </c>
      <c r="W18" s="655">
        <f>SUMIF(טבלה3540[עמודה1],טבלה38[[#This Row],[קוד מוצר]],טבלה3540[הזמנה])</f>
        <v>0</v>
      </c>
      <c r="X18" s="655">
        <f>SUMIF(טבלה3441[עמודה1],טבלה38[[#This Row],[קוד מוצר]],טבלה3441[הזמנה])</f>
        <v>0</v>
      </c>
      <c r="Y18" s="655">
        <f>SUMIF(טבלה24[מקט],טבלה38[[#This Row],[קוד מוצר]],טבלה24[כמות])</f>
        <v>0</v>
      </c>
      <c r="Z18" s="655">
        <f>SUMIF(טבלה628[קוד מוצר],טבלה38[[#This Row],[קוד מוצר]],טבלה628[תוספת])</f>
        <v>0</v>
      </c>
      <c r="AA18" s="610">
        <f>טבלה38[[#This Row],[פימת קפה]]*טבלה38[[#This Row],[מחיר ליח'' כולל ]]</f>
        <v>0</v>
      </c>
      <c r="AB18" s="610">
        <f>טבלה38[[#This Row],[פת שחרית]]*טבלה38[[#This Row],[מחיר ליח'' כולל ]]</f>
        <v>0</v>
      </c>
      <c r="AC18" s="610">
        <f>טבלה38[[#This Row],[א. בוקר פריסה]]*טבלה38[[#This Row],[מחיר ליח'' כולל ]]</f>
        <v>0</v>
      </c>
      <c r="AD18" s="666">
        <f>טבלה38[[#This Row],[א. צהררים פריסה ]]*טבלה38[[#This Row],[מחיר ליח'' כולל ]]</f>
        <v>0</v>
      </c>
      <c r="AE18" s="666">
        <f>טבלה38[[#This Row],[בוקר קיטים]]*טבלה38[[#This Row],[מחיר ליח'' כולל ]]</f>
        <v>0</v>
      </c>
      <c r="AF18" s="666">
        <f>טבלה38[[#This Row],[צהריים קיטים]]*טבלה38[[#This Row],[מחיר ליח'' כולל ]]</f>
        <v>0</v>
      </c>
      <c r="AG18" s="666">
        <f>טבלה38[[#This Row],[פריסת אמצע]]*טבלה38[[#This Row],[מחיר ליח'' כולל ]]</f>
        <v>0</v>
      </c>
      <c r="AH18" s="666">
        <f>טבלה38[[#This Row],[מרק]]*טבלה38[[#This Row],[מחיר ליח'' כולל ]]</f>
        <v>0</v>
      </c>
      <c r="AI18" s="666">
        <f>טבלה38[[#This Row],[ערב בישול 1]]*טבלה38[[#This Row],[מחיר ליח'' כולל ]]</f>
        <v>0</v>
      </c>
      <c r="AJ18" s="666">
        <f>טבלה38[[#This Row],[ערב בישול 2]]*טבלה38[[#This Row],[מחיר ליח'' כולל ]]</f>
        <v>0</v>
      </c>
      <c r="AK18" s="666">
        <f>טבלה38[[#This Row],[ערב בישול 3]]*טבלה38[[#This Row],[מחיר ליח'' כולל ]]</f>
        <v>0</v>
      </c>
      <c r="AL18" s="666">
        <f>טבלה38[[#This Row],[ערב קטן 1]]*טבלה38[[#This Row],[מחיר ליח'' כולל ]]</f>
        <v>0</v>
      </c>
      <c r="AM18" s="666">
        <f>טבלה38[[#This Row],[ערב קטן 2]]*טבלה38[[#This Row],[מחיר ליח'' כולל ]]</f>
        <v>0</v>
      </c>
      <c r="AN18" s="666">
        <f>טבלה38[[#This Row],[ערב קטן 3]]*טבלה38[[#This Row],[מחיר ליח'' כולל ]]</f>
        <v>0</v>
      </c>
      <c r="AO18" s="666">
        <f>טבלה38[[#This Row],[קיטים מיוחדים]]*טבלה38[[#This Row],[מחיר ליח'' כולל ]]</f>
        <v>0</v>
      </c>
      <c r="AP18" s="666">
        <f>טבלה38[[#This Row],[תוספות]]*טבלה38[[#This Row],[מחיר ליח'' כולל ]]</f>
        <v>0</v>
      </c>
    </row>
    <row r="19" spans="2:42" ht="14.4">
      <c r="B19" s="651">
        <v>364</v>
      </c>
      <c r="C19" s="650" t="s">
        <v>375</v>
      </c>
      <c r="D19" s="650" t="s">
        <v>8</v>
      </c>
      <c r="E19" s="650"/>
      <c r="F19" s="649" t="str">
        <f>IF(טבלה38[[#This Row],[סה"כ]]&gt;0,טבלה38[[#This Row],[סה"כ]],"")</f>
        <v/>
      </c>
      <c r="G19" s="656">
        <v>0</v>
      </c>
      <c r="H19" s="655">
        <f>טבלה38[[#This Row],[מחיר]]+טבלה38[[#This Row],[% מע"מ]]*טבלה38[[#This Row],[מחיר]]</f>
        <v>0</v>
      </c>
      <c r="I19" s="630">
        <f>טבלה38[[#This Row],[סה"כ]]*טבלה38[[#This Row],[מחיר ליח'' כולל ]]</f>
        <v>0</v>
      </c>
      <c r="J19" s="655">
        <f>SUM(טבלה38[[#This Row],[פימת קפה]:[תוספות]])</f>
        <v>0</v>
      </c>
      <c r="K19" s="655">
        <f>SUMIF(טבלה11517[מקט],טבלה38[[#This Row],[קוד מוצר]],טבלה11517[כמות])</f>
        <v>0</v>
      </c>
      <c r="L19" s="655">
        <f>SUMIF(טבלה115179[מקט],טבלה38[[#This Row],[קוד מוצר]],טבלה115179[כמות])</f>
        <v>0</v>
      </c>
      <c r="M19" s="655">
        <f>SUMIF(טבלה115[מקט],טבלה38[[#This Row],[קוד מוצר]],טבלה115[כמות])</f>
        <v>0</v>
      </c>
      <c r="N19" s="655">
        <f>SUMIF(טבלה1[מק"ט],טבלה38[[#This Row],[קוד מוצר]],טבלה1[כמות])</f>
        <v>0</v>
      </c>
      <c r="O19" s="655">
        <f>SUMIF(טבלה8[מק"ט],טבלה38[[#This Row],[קוד מוצר]],טבלה8[הזמנה])</f>
        <v>0</v>
      </c>
      <c r="P19" s="655">
        <f>SUMIF(טבלה15[מק"ט],טבלה38[[#This Row],[קוד מוצר]],טבלה15[הזמנה])</f>
        <v>0</v>
      </c>
      <c r="Q19" s="655">
        <f>SUMIF(טבלה1151718[מקט],טבלה38[[#This Row],[קוד מוצר]],טבלה1151718[כמות])</f>
        <v>0</v>
      </c>
      <c r="R19" s="655">
        <f>SUMIF(טבלה125[מקט],טבלה38[[#This Row],[קוד מוצר]],טבלה125[כמות])</f>
        <v>0</v>
      </c>
      <c r="S19" s="655">
        <f>SUMIF(טבלה33[מק"ט],טבלה38[[#This Row],[קוד מוצר]],טבלה33[הזמנה])</f>
        <v>0</v>
      </c>
      <c r="T19" s="655">
        <f>SUMIF(טבלה34[עמודה1],טבלה38[[#This Row],[קוד מוצר]],טבלה34[הזמנה])</f>
        <v>0</v>
      </c>
      <c r="U19" s="655">
        <f>SUMIF(טבלה35[עמודה1],טבלה38[[#This Row],[קוד מוצר]],טבלה35[הזמנה])</f>
        <v>0</v>
      </c>
      <c r="V19" s="655">
        <f>SUMIF(טבלה3338[מק"ט],טבלה38[[#This Row],[קוד מוצר]],טבלה3338[הזמנה])</f>
        <v>0</v>
      </c>
      <c r="W19" s="655">
        <f>SUMIF(טבלה3540[עמודה1],טבלה38[[#This Row],[קוד מוצר]],טבלה3540[הזמנה])</f>
        <v>0</v>
      </c>
      <c r="X19" s="655">
        <f>SUMIF(טבלה3441[עמודה1],טבלה38[[#This Row],[קוד מוצר]],טבלה3441[הזמנה])</f>
        <v>0</v>
      </c>
      <c r="Y19" s="655">
        <f>SUMIF(טבלה24[מקט],טבלה38[[#This Row],[קוד מוצר]],טבלה24[כמות])</f>
        <v>0</v>
      </c>
      <c r="Z19" s="655">
        <f>SUMIF(טבלה628[קוד מוצר],טבלה38[[#This Row],[קוד מוצר]],טבלה628[תוספת])</f>
        <v>0</v>
      </c>
      <c r="AA19" s="610">
        <f>טבלה38[[#This Row],[פימת קפה]]*טבלה38[[#This Row],[מחיר ליח'' כולל ]]</f>
        <v>0</v>
      </c>
      <c r="AB19" s="610">
        <f>טבלה38[[#This Row],[פת שחרית]]*טבלה38[[#This Row],[מחיר ליח'' כולל ]]</f>
        <v>0</v>
      </c>
      <c r="AC19" s="610">
        <f>טבלה38[[#This Row],[א. בוקר פריסה]]*טבלה38[[#This Row],[מחיר ליח'' כולל ]]</f>
        <v>0</v>
      </c>
      <c r="AD19" s="666">
        <f>טבלה38[[#This Row],[א. צהררים פריסה ]]*טבלה38[[#This Row],[מחיר ליח'' כולל ]]</f>
        <v>0</v>
      </c>
      <c r="AE19" s="666">
        <f>טבלה38[[#This Row],[בוקר קיטים]]*טבלה38[[#This Row],[מחיר ליח'' כולל ]]</f>
        <v>0</v>
      </c>
      <c r="AF19" s="666">
        <f>טבלה38[[#This Row],[צהריים קיטים]]*טבלה38[[#This Row],[מחיר ליח'' כולל ]]</f>
        <v>0</v>
      </c>
      <c r="AG19" s="666">
        <f>טבלה38[[#This Row],[פריסת אמצע]]*טבלה38[[#This Row],[מחיר ליח'' כולל ]]</f>
        <v>0</v>
      </c>
      <c r="AH19" s="666">
        <f>טבלה38[[#This Row],[מרק]]*טבלה38[[#This Row],[מחיר ליח'' כולל ]]</f>
        <v>0</v>
      </c>
      <c r="AI19" s="666">
        <f>טבלה38[[#This Row],[ערב בישול 1]]*טבלה38[[#This Row],[מחיר ליח'' כולל ]]</f>
        <v>0</v>
      </c>
      <c r="AJ19" s="666">
        <f>טבלה38[[#This Row],[ערב בישול 2]]*טבלה38[[#This Row],[מחיר ליח'' כולל ]]</f>
        <v>0</v>
      </c>
      <c r="AK19" s="666">
        <f>טבלה38[[#This Row],[ערב בישול 3]]*טבלה38[[#This Row],[מחיר ליח'' כולל ]]</f>
        <v>0</v>
      </c>
      <c r="AL19" s="666">
        <f>טבלה38[[#This Row],[ערב קטן 1]]*טבלה38[[#This Row],[מחיר ליח'' כולל ]]</f>
        <v>0</v>
      </c>
      <c r="AM19" s="666">
        <f>טבלה38[[#This Row],[ערב קטן 2]]*טבלה38[[#This Row],[מחיר ליח'' כולל ]]</f>
        <v>0</v>
      </c>
      <c r="AN19" s="666">
        <f>טבלה38[[#This Row],[ערב קטן 3]]*טבלה38[[#This Row],[מחיר ליח'' כולל ]]</f>
        <v>0</v>
      </c>
      <c r="AO19" s="666">
        <f>טבלה38[[#This Row],[קיטים מיוחדים]]*טבלה38[[#This Row],[מחיר ליח'' כולל ]]</f>
        <v>0</v>
      </c>
      <c r="AP19" s="666">
        <f>טבלה38[[#This Row],[תוספות]]*טבלה38[[#This Row],[מחיר ליח'' כולל ]]</f>
        <v>0</v>
      </c>
    </row>
    <row r="20" spans="2:42" ht="14.4">
      <c r="B20" s="651">
        <v>957</v>
      </c>
      <c r="C20" s="650" t="s">
        <v>395</v>
      </c>
      <c r="D20" s="650" t="s">
        <v>8</v>
      </c>
      <c r="E20" s="650"/>
      <c r="F20" s="649" t="str">
        <f>IF(טבלה38[[#This Row],[סה"כ]]&gt;0,טבלה38[[#This Row],[סה"כ]],"")</f>
        <v/>
      </c>
      <c r="G20" s="656">
        <v>0</v>
      </c>
      <c r="H20" s="655">
        <f>טבלה38[[#This Row],[מחיר]]+טבלה38[[#This Row],[% מע"מ]]*טבלה38[[#This Row],[מחיר]]</f>
        <v>0</v>
      </c>
      <c r="I20" s="630">
        <f>טבלה38[[#This Row],[סה"כ]]*טבלה38[[#This Row],[מחיר ליח'' כולל ]]</f>
        <v>0</v>
      </c>
      <c r="J20" s="655">
        <f>SUM(טבלה38[[#This Row],[פימת קפה]:[תוספות]])</f>
        <v>0</v>
      </c>
      <c r="K20" s="655">
        <f>SUMIF(טבלה11517[מקט],טבלה38[[#This Row],[קוד מוצר]],טבלה11517[כמות])</f>
        <v>0</v>
      </c>
      <c r="L20" s="655">
        <f>SUMIF(טבלה115179[מקט],טבלה38[[#This Row],[קוד מוצר]],טבלה115179[כמות])</f>
        <v>0</v>
      </c>
      <c r="M20" s="655">
        <f>SUMIF(טבלה115[מקט],טבלה38[[#This Row],[קוד מוצר]],טבלה115[כמות])</f>
        <v>0</v>
      </c>
      <c r="N20" s="655">
        <f>SUMIF(טבלה1[מק"ט],טבלה38[[#This Row],[קוד מוצר]],טבלה1[כמות])</f>
        <v>0</v>
      </c>
      <c r="O20" s="655">
        <f>SUMIF(טבלה8[מק"ט],טבלה38[[#This Row],[קוד מוצר]],טבלה8[הזמנה])</f>
        <v>0</v>
      </c>
      <c r="P20" s="655">
        <f>SUMIF(טבלה15[מק"ט],טבלה38[[#This Row],[קוד מוצר]],טבלה15[הזמנה])</f>
        <v>0</v>
      </c>
      <c r="Q20" s="655">
        <f>SUMIF(טבלה1151718[מקט],טבלה38[[#This Row],[קוד מוצר]],טבלה1151718[כמות])</f>
        <v>0</v>
      </c>
      <c r="R20" s="655">
        <f>SUMIF(טבלה125[מקט],טבלה38[[#This Row],[קוד מוצר]],טבלה125[כמות])</f>
        <v>0</v>
      </c>
      <c r="S20" s="655">
        <f>SUMIF(טבלה33[מק"ט],טבלה38[[#This Row],[קוד מוצר]],טבלה33[הזמנה])</f>
        <v>0</v>
      </c>
      <c r="T20" s="655">
        <f>SUMIF(טבלה34[עמודה1],טבלה38[[#This Row],[קוד מוצר]],טבלה34[הזמנה])</f>
        <v>0</v>
      </c>
      <c r="U20" s="655">
        <f>SUMIF(טבלה35[עמודה1],טבלה38[[#This Row],[קוד מוצר]],טבלה35[הזמנה])</f>
        <v>0</v>
      </c>
      <c r="V20" s="655">
        <f>SUMIF(טבלה3338[מק"ט],טבלה38[[#This Row],[קוד מוצר]],טבלה3338[הזמנה])</f>
        <v>0</v>
      </c>
      <c r="W20" s="655">
        <f>SUMIF(טבלה3540[עמודה1],טבלה38[[#This Row],[קוד מוצר]],טבלה3540[הזמנה])</f>
        <v>0</v>
      </c>
      <c r="X20" s="655">
        <f>SUMIF(טבלה3441[עמודה1],טבלה38[[#This Row],[קוד מוצר]],טבלה3441[הזמנה])</f>
        <v>0</v>
      </c>
      <c r="Y20" s="655">
        <f>SUMIF(טבלה24[מקט],טבלה38[[#This Row],[קוד מוצר]],טבלה24[כמות])</f>
        <v>0</v>
      </c>
      <c r="Z20" s="655">
        <f>SUMIF(טבלה628[קוד מוצר],טבלה38[[#This Row],[קוד מוצר]],טבלה628[תוספת])</f>
        <v>0</v>
      </c>
      <c r="AA20" s="610">
        <f>טבלה38[[#This Row],[פימת קפה]]*טבלה38[[#This Row],[מחיר ליח'' כולל ]]</f>
        <v>0</v>
      </c>
      <c r="AB20" s="610">
        <f>טבלה38[[#This Row],[פת שחרית]]*טבלה38[[#This Row],[מחיר ליח'' כולל ]]</f>
        <v>0</v>
      </c>
      <c r="AC20" s="610">
        <f>טבלה38[[#This Row],[א. בוקר פריסה]]*טבלה38[[#This Row],[מחיר ליח'' כולל ]]</f>
        <v>0</v>
      </c>
      <c r="AD20" s="666">
        <f>טבלה38[[#This Row],[א. צהררים פריסה ]]*טבלה38[[#This Row],[מחיר ליח'' כולל ]]</f>
        <v>0</v>
      </c>
      <c r="AE20" s="666">
        <f>טבלה38[[#This Row],[בוקר קיטים]]*טבלה38[[#This Row],[מחיר ליח'' כולל ]]</f>
        <v>0</v>
      </c>
      <c r="AF20" s="666">
        <f>טבלה38[[#This Row],[צהריים קיטים]]*טבלה38[[#This Row],[מחיר ליח'' כולל ]]</f>
        <v>0</v>
      </c>
      <c r="AG20" s="666">
        <f>טבלה38[[#This Row],[פריסת אמצע]]*טבלה38[[#This Row],[מחיר ליח'' כולל ]]</f>
        <v>0</v>
      </c>
      <c r="AH20" s="666">
        <f>טבלה38[[#This Row],[מרק]]*טבלה38[[#This Row],[מחיר ליח'' כולל ]]</f>
        <v>0</v>
      </c>
      <c r="AI20" s="666">
        <f>טבלה38[[#This Row],[ערב בישול 1]]*טבלה38[[#This Row],[מחיר ליח'' כולל ]]</f>
        <v>0</v>
      </c>
      <c r="AJ20" s="666">
        <f>טבלה38[[#This Row],[ערב בישול 2]]*טבלה38[[#This Row],[מחיר ליח'' כולל ]]</f>
        <v>0</v>
      </c>
      <c r="AK20" s="666">
        <f>טבלה38[[#This Row],[ערב בישול 3]]*טבלה38[[#This Row],[מחיר ליח'' כולל ]]</f>
        <v>0</v>
      </c>
      <c r="AL20" s="666">
        <f>טבלה38[[#This Row],[ערב קטן 1]]*טבלה38[[#This Row],[מחיר ליח'' כולל ]]</f>
        <v>0</v>
      </c>
      <c r="AM20" s="666">
        <f>טבלה38[[#This Row],[ערב קטן 2]]*טבלה38[[#This Row],[מחיר ליח'' כולל ]]</f>
        <v>0</v>
      </c>
      <c r="AN20" s="666">
        <f>טבלה38[[#This Row],[ערב קטן 3]]*טבלה38[[#This Row],[מחיר ליח'' כולל ]]</f>
        <v>0</v>
      </c>
      <c r="AO20" s="666">
        <f>טבלה38[[#This Row],[קיטים מיוחדים]]*טבלה38[[#This Row],[מחיר ליח'' כולל ]]</f>
        <v>0</v>
      </c>
      <c r="AP20" s="666">
        <f>טבלה38[[#This Row],[תוספות]]*טבלה38[[#This Row],[מחיר ליח'' כולל ]]</f>
        <v>0</v>
      </c>
    </row>
    <row r="21" spans="2:42" ht="14.4">
      <c r="B21" s="651">
        <v>2969</v>
      </c>
      <c r="C21" s="650" t="s">
        <v>936</v>
      </c>
      <c r="D21" s="650" t="s">
        <v>602</v>
      </c>
      <c r="E21" s="650"/>
      <c r="F21" s="649" t="str">
        <f>IF(טבלה38[[#This Row],[סה"כ]]&gt;0,טבלה38[[#This Row],[סה"כ]],"")</f>
        <v/>
      </c>
      <c r="G21" s="656">
        <v>0.17</v>
      </c>
      <c r="H21" s="655">
        <f>טבלה38[[#This Row],[מחיר]]+טבלה38[[#This Row],[% מע"מ]]*טבלה38[[#This Row],[מחיר]]</f>
        <v>0</v>
      </c>
      <c r="I21" s="630">
        <f>טבלה38[[#This Row],[סה"כ]]*טבלה38[[#This Row],[מחיר ליח'' כולל ]]</f>
        <v>0</v>
      </c>
      <c r="J21" s="655">
        <f>SUM(טבלה38[[#This Row],[פימת קפה]:[תוספות]])</f>
        <v>0</v>
      </c>
      <c r="K21" s="655">
        <f>SUMIF(טבלה11517[מקט],טבלה38[[#This Row],[קוד מוצר]],טבלה11517[כמות])</f>
        <v>0</v>
      </c>
      <c r="L21" s="655">
        <f>SUMIF(טבלה115179[מקט],טבלה38[[#This Row],[קוד מוצר]],טבלה115179[כמות])</f>
        <v>0</v>
      </c>
      <c r="M21" s="655">
        <f>SUMIF(טבלה115[מקט],טבלה38[[#This Row],[קוד מוצר]],טבלה115[כמות])</f>
        <v>0</v>
      </c>
      <c r="N21" s="655">
        <f>SUMIF(טבלה1[מק"ט],טבלה38[[#This Row],[קוד מוצר]],טבלה1[כמות])</f>
        <v>0</v>
      </c>
      <c r="O21" s="655">
        <f>SUMIF(טבלה8[מק"ט],טבלה38[[#This Row],[קוד מוצר]],טבלה8[הזמנה])</f>
        <v>0</v>
      </c>
      <c r="P21" s="655">
        <f>SUMIF(טבלה15[מק"ט],טבלה38[[#This Row],[קוד מוצר]],טבלה15[הזמנה])</f>
        <v>0</v>
      </c>
      <c r="Q21" s="655">
        <f>SUMIF(טבלה1151718[מקט],טבלה38[[#This Row],[קוד מוצר]],טבלה1151718[כמות])</f>
        <v>0</v>
      </c>
      <c r="R21" s="655">
        <f>SUMIF(טבלה125[מקט],טבלה38[[#This Row],[קוד מוצר]],טבלה125[כמות])</f>
        <v>0</v>
      </c>
      <c r="S21" s="655">
        <f>SUMIF(טבלה33[מק"ט],טבלה38[[#This Row],[קוד מוצר]],טבלה33[הזמנה])</f>
        <v>0</v>
      </c>
      <c r="T21" s="655">
        <f>SUMIF(טבלה34[עמודה1],טבלה38[[#This Row],[קוד מוצר]],טבלה34[הזמנה])</f>
        <v>0</v>
      </c>
      <c r="U21" s="655">
        <f>SUMIF(טבלה35[עמודה1],טבלה38[[#This Row],[קוד מוצר]],טבלה35[הזמנה])</f>
        <v>0</v>
      </c>
      <c r="V21" s="655">
        <f>SUMIF(טבלה3338[מק"ט],טבלה38[[#This Row],[קוד מוצר]],טבלה3338[הזמנה])</f>
        <v>0</v>
      </c>
      <c r="W21" s="655">
        <f>SUMIF(טבלה3540[עמודה1],טבלה38[[#This Row],[קוד מוצר]],טבלה3540[הזמנה])</f>
        <v>0</v>
      </c>
      <c r="X21" s="655">
        <f>SUMIF(טבלה3441[עמודה1],טבלה38[[#This Row],[קוד מוצר]],טבלה3441[הזמנה])</f>
        <v>0</v>
      </c>
      <c r="Y21" s="655">
        <f>SUMIF(טבלה24[מקט],טבלה38[[#This Row],[קוד מוצר]],טבלה24[כמות])</f>
        <v>0</v>
      </c>
      <c r="Z21" s="655">
        <f>SUMIF(טבלה628[קוד מוצר],טבלה38[[#This Row],[קוד מוצר]],טבלה628[תוספת])</f>
        <v>0</v>
      </c>
      <c r="AA21" s="610">
        <f>טבלה38[[#This Row],[פימת קפה]]*טבלה38[[#This Row],[מחיר ליח'' כולל ]]</f>
        <v>0</v>
      </c>
      <c r="AB21" s="610">
        <f>טבלה38[[#This Row],[פת שחרית]]*טבלה38[[#This Row],[מחיר ליח'' כולל ]]</f>
        <v>0</v>
      </c>
      <c r="AC21" s="610">
        <f>טבלה38[[#This Row],[א. בוקר פריסה]]*טבלה38[[#This Row],[מחיר ליח'' כולל ]]</f>
        <v>0</v>
      </c>
      <c r="AD21" s="666">
        <f>טבלה38[[#This Row],[א. צהררים פריסה ]]*טבלה38[[#This Row],[מחיר ליח'' כולל ]]</f>
        <v>0</v>
      </c>
      <c r="AE21" s="666">
        <f>טבלה38[[#This Row],[בוקר קיטים]]*טבלה38[[#This Row],[מחיר ליח'' כולל ]]</f>
        <v>0</v>
      </c>
      <c r="AF21" s="666">
        <f>טבלה38[[#This Row],[צהריים קיטים]]*טבלה38[[#This Row],[מחיר ליח'' כולל ]]</f>
        <v>0</v>
      </c>
      <c r="AG21" s="666">
        <f>טבלה38[[#This Row],[פריסת אמצע]]*טבלה38[[#This Row],[מחיר ליח'' כולל ]]</f>
        <v>0</v>
      </c>
      <c r="AH21" s="666">
        <f>טבלה38[[#This Row],[מרק]]*טבלה38[[#This Row],[מחיר ליח'' כולל ]]</f>
        <v>0</v>
      </c>
      <c r="AI21" s="666">
        <f>טבלה38[[#This Row],[ערב בישול 1]]*טבלה38[[#This Row],[מחיר ליח'' כולל ]]</f>
        <v>0</v>
      </c>
      <c r="AJ21" s="666">
        <f>טבלה38[[#This Row],[ערב בישול 2]]*טבלה38[[#This Row],[מחיר ליח'' כולל ]]</f>
        <v>0</v>
      </c>
      <c r="AK21" s="666">
        <f>טבלה38[[#This Row],[ערב בישול 3]]*טבלה38[[#This Row],[מחיר ליח'' כולל ]]</f>
        <v>0</v>
      </c>
      <c r="AL21" s="666">
        <f>טבלה38[[#This Row],[ערב קטן 1]]*טבלה38[[#This Row],[מחיר ליח'' כולל ]]</f>
        <v>0</v>
      </c>
      <c r="AM21" s="666">
        <f>טבלה38[[#This Row],[ערב קטן 2]]*טבלה38[[#This Row],[מחיר ליח'' כולל ]]</f>
        <v>0</v>
      </c>
      <c r="AN21" s="666">
        <f>טבלה38[[#This Row],[ערב קטן 3]]*טבלה38[[#This Row],[מחיר ליח'' כולל ]]</f>
        <v>0</v>
      </c>
      <c r="AO21" s="666">
        <f>טבלה38[[#This Row],[קיטים מיוחדים]]*טבלה38[[#This Row],[מחיר ליח'' כולל ]]</f>
        <v>0</v>
      </c>
      <c r="AP21" s="666">
        <f>טבלה38[[#This Row],[תוספות]]*טבלה38[[#This Row],[מחיר ליח'' כולל ]]</f>
        <v>0</v>
      </c>
    </row>
    <row r="22" spans="2:42" ht="14.4">
      <c r="B22" s="651">
        <v>3094</v>
      </c>
      <c r="C22" s="650" t="s">
        <v>1034</v>
      </c>
      <c r="E22" s="650"/>
      <c r="F22" s="649" t="str">
        <f>IF(טבלה38[[#This Row],[סה"כ]]&gt;0,טבלה38[[#This Row],[סה"כ]],"")</f>
        <v/>
      </c>
      <c r="G22" s="656">
        <v>0.17</v>
      </c>
      <c r="H22" s="655">
        <f>טבלה38[[#This Row],[מחיר]]+טבלה38[[#This Row],[% מע"מ]]*טבלה38[[#This Row],[מחיר]]</f>
        <v>0</v>
      </c>
      <c r="I22" s="630">
        <f>טבלה38[[#This Row],[סה"כ]]*טבלה38[[#This Row],[מחיר ליח'' כולל ]]</f>
        <v>0</v>
      </c>
      <c r="J22" s="655">
        <f>SUM(טבלה38[[#This Row],[פימת קפה]:[תוספות]])</f>
        <v>0</v>
      </c>
      <c r="K22" s="655">
        <f>SUMIF(טבלה11517[מקט],טבלה38[[#This Row],[קוד מוצר]],טבלה11517[כמות])</f>
        <v>0</v>
      </c>
      <c r="L22" s="655">
        <f>SUMIF(טבלה115179[מקט],טבלה38[[#This Row],[קוד מוצר]],טבלה115179[כמות])</f>
        <v>0</v>
      </c>
      <c r="M22" s="655">
        <f>SUMIF(טבלה115[מקט],טבלה38[[#This Row],[קוד מוצר]],טבלה115[כמות])</f>
        <v>0</v>
      </c>
      <c r="N22" s="655">
        <f>SUMIF(טבלה1[מק"ט],טבלה38[[#This Row],[קוד מוצר]],טבלה1[כמות])</f>
        <v>0</v>
      </c>
      <c r="O22" s="655">
        <f>SUMIF(טבלה8[מק"ט],טבלה38[[#This Row],[קוד מוצר]],טבלה8[הזמנה])</f>
        <v>0</v>
      </c>
      <c r="P22" s="655">
        <f>SUMIF(טבלה15[מק"ט],טבלה38[[#This Row],[קוד מוצר]],טבלה15[הזמנה])</f>
        <v>0</v>
      </c>
      <c r="Q22" s="655">
        <f>SUMIF(טבלה1151718[מקט],טבלה38[[#This Row],[קוד מוצר]],טבלה1151718[כמות])</f>
        <v>0</v>
      </c>
      <c r="R22" s="655">
        <f>SUMIF(טבלה125[מקט],טבלה38[[#This Row],[קוד מוצר]],טבלה125[כמות])</f>
        <v>0</v>
      </c>
      <c r="S22" s="655">
        <f>SUMIF(טבלה33[מק"ט],טבלה38[[#This Row],[קוד מוצר]],טבלה33[הזמנה])</f>
        <v>0</v>
      </c>
      <c r="T22" s="655">
        <f>SUMIF(טבלה34[עמודה1],טבלה38[[#This Row],[קוד מוצר]],טבלה34[הזמנה])</f>
        <v>0</v>
      </c>
      <c r="U22" s="655">
        <f>SUMIF(טבלה35[עמודה1],טבלה38[[#This Row],[קוד מוצר]],טבלה35[הזמנה])</f>
        <v>0</v>
      </c>
      <c r="V22" s="655">
        <f>SUMIF(טבלה3338[מק"ט],טבלה38[[#This Row],[קוד מוצר]],טבלה3338[הזמנה])</f>
        <v>0</v>
      </c>
      <c r="W22" s="655">
        <f>SUMIF(טבלה3540[עמודה1],טבלה38[[#This Row],[קוד מוצר]],טבלה3540[הזמנה])</f>
        <v>0</v>
      </c>
      <c r="X22" s="655">
        <f>SUMIF(טבלה3441[עמודה1],טבלה38[[#This Row],[קוד מוצר]],טבלה3441[הזמנה])</f>
        <v>0</v>
      </c>
      <c r="Y22" s="655">
        <f>SUMIF(טבלה24[מקט],טבלה38[[#This Row],[קוד מוצר]],טבלה24[כמות])</f>
        <v>0</v>
      </c>
      <c r="Z22" s="655">
        <f>SUMIF(טבלה628[קוד מוצר],טבלה38[[#This Row],[קוד מוצר]],טבלה628[תוספת])</f>
        <v>0</v>
      </c>
      <c r="AA22" s="610">
        <f>טבלה38[[#This Row],[פימת קפה]]*טבלה38[[#This Row],[מחיר ליח'' כולל ]]</f>
        <v>0</v>
      </c>
      <c r="AB22" s="610">
        <f>טבלה38[[#This Row],[פת שחרית]]*טבלה38[[#This Row],[מחיר ליח'' כולל ]]</f>
        <v>0</v>
      </c>
      <c r="AC22" s="610">
        <f>טבלה38[[#This Row],[א. בוקר פריסה]]*טבלה38[[#This Row],[מחיר ליח'' כולל ]]</f>
        <v>0</v>
      </c>
      <c r="AD22" s="666">
        <f>טבלה38[[#This Row],[א. צהררים פריסה ]]*טבלה38[[#This Row],[מחיר ליח'' כולל ]]</f>
        <v>0</v>
      </c>
      <c r="AE22" s="666">
        <f>טבלה38[[#This Row],[בוקר קיטים]]*טבלה38[[#This Row],[מחיר ליח'' כולל ]]</f>
        <v>0</v>
      </c>
      <c r="AF22" s="666">
        <f>טבלה38[[#This Row],[צהריים קיטים]]*טבלה38[[#This Row],[מחיר ליח'' כולל ]]</f>
        <v>0</v>
      </c>
      <c r="AG22" s="666">
        <f>טבלה38[[#This Row],[פריסת אמצע]]*טבלה38[[#This Row],[מחיר ליח'' כולל ]]</f>
        <v>0</v>
      </c>
      <c r="AH22" s="666">
        <f>טבלה38[[#This Row],[מרק]]*טבלה38[[#This Row],[מחיר ליח'' כולל ]]</f>
        <v>0</v>
      </c>
      <c r="AI22" s="666">
        <f>טבלה38[[#This Row],[ערב בישול 1]]*טבלה38[[#This Row],[מחיר ליח'' כולל ]]</f>
        <v>0</v>
      </c>
      <c r="AJ22" s="666">
        <f>טבלה38[[#This Row],[ערב בישול 2]]*טבלה38[[#This Row],[מחיר ליח'' כולל ]]</f>
        <v>0</v>
      </c>
      <c r="AK22" s="666">
        <f>טבלה38[[#This Row],[ערב בישול 3]]*טבלה38[[#This Row],[מחיר ליח'' כולל ]]</f>
        <v>0</v>
      </c>
      <c r="AL22" s="666">
        <f>טבלה38[[#This Row],[ערב קטן 1]]*טבלה38[[#This Row],[מחיר ליח'' כולל ]]</f>
        <v>0</v>
      </c>
      <c r="AM22" s="666">
        <f>טבלה38[[#This Row],[ערב קטן 2]]*טבלה38[[#This Row],[מחיר ליח'' כולל ]]</f>
        <v>0</v>
      </c>
      <c r="AN22" s="666">
        <f>טבלה38[[#This Row],[ערב קטן 3]]*טבלה38[[#This Row],[מחיר ליח'' כולל ]]</f>
        <v>0</v>
      </c>
      <c r="AO22" s="666">
        <f>טבלה38[[#This Row],[קיטים מיוחדים]]*טבלה38[[#This Row],[מחיר ליח'' כולל ]]</f>
        <v>0</v>
      </c>
      <c r="AP22" s="666">
        <f>טבלה38[[#This Row],[תוספות]]*טבלה38[[#This Row],[מחיר ליח'' כולל ]]</f>
        <v>0</v>
      </c>
    </row>
    <row r="23" spans="2:42" ht="14.4">
      <c r="B23" s="651">
        <v>4531</v>
      </c>
      <c r="C23" s="650" t="s">
        <v>942</v>
      </c>
      <c r="D23" s="650" t="s">
        <v>602</v>
      </c>
      <c r="E23" s="650"/>
      <c r="F23" s="649" t="str">
        <f>IF(טבלה38[[#This Row],[סה"כ]]&gt;0,טבלה38[[#This Row],[סה"כ]],"")</f>
        <v/>
      </c>
      <c r="G23" s="656">
        <v>0.17</v>
      </c>
      <c r="H23" s="655">
        <f>טבלה38[[#This Row],[מחיר]]+טבלה38[[#This Row],[% מע"מ]]*טבלה38[[#This Row],[מחיר]]</f>
        <v>0</v>
      </c>
      <c r="I23" s="630">
        <f>טבלה38[[#This Row],[סה"כ]]*טבלה38[[#This Row],[מחיר ליח'' כולל ]]</f>
        <v>0</v>
      </c>
      <c r="J23" s="655">
        <f>SUM(טבלה38[[#This Row],[פימת קפה]:[תוספות]])</f>
        <v>0</v>
      </c>
      <c r="K23" s="655">
        <f>SUMIF(טבלה11517[מקט],טבלה38[[#This Row],[קוד מוצר]],טבלה11517[כמות])</f>
        <v>0</v>
      </c>
      <c r="L23" s="655">
        <f>SUMIF(טבלה115179[מקט],טבלה38[[#This Row],[קוד מוצר]],טבלה115179[כמות])</f>
        <v>0</v>
      </c>
      <c r="M23" s="655">
        <f>SUMIF(טבלה115[מקט],טבלה38[[#This Row],[קוד מוצר]],טבלה115[כמות])</f>
        <v>0</v>
      </c>
      <c r="N23" s="655">
        <f>SUMIF(טבלה1[מק"ט],טבלה38[[#This Row],[קוד מוצר]],טבלה1[כמות])</f>
        <v>0</v>
      </c>
      <c r="O23" s="655">
        <f>SUMIF(טבלה8[מק"ט],טבלה38[[#This Row],[קוד מוצר]],טבלה8[הזמנה])</f>
        <v>0</v>
      </c>
      <c r="P23" s="655">
        <f>SUMIF(טבלה15[מק"ט],טבלה38[[#This Row],[קוד מוצר]],טבלה15[הזמנה])</f>
        <v>0</v>
      </c>
      <c r="Q23" s="655">
        <f>SUMIF(טבלה1151718[מקט],טבלה38[[#This Row],[קוד מוצר]],טבלה1151718[כמות])</f>
        <v>0</v>
      </c>
      <c r="R23" s="655">
        <f>SUMIF(טבלה125[מקט],טבלה38[[#This Row],[קוד מוצר]],טבלה125[כמות])</f>
        <v>0</v>
      </c>
      <c r="S23" s="655">
        <f>SUMIF(טבלה33[מק"ט],טבלה38[[#This Row],[קוד מוצר]],טבלה33[הזמנה])</f>
        <v>0</v>
      </c>
      <c r="T23" s="655">
        <f>SUMIF(טבלה34[עמודה1],טבלה38[[#This Row],[קוד מוצר]],טבלה34[הזמנה])</f>
        <v>0</v>
      </c>
      <c r="U23" s="655">
        <f>SUMIF(טבלה35[עמודה1],טבלה38[[#This Row],[קוד מוצר]],טבלה35[הזמנה])</f>
        <v>0</v>
      </c>
      <c r="V23" s="655">
        <f>SUMIF(טבלה3338[מק"ט],טבלה38[[#This Row],[קוד מוצר]],טבלה3338[הזמנה])</f>
        <v>0</v>
      </c>
      <c r="W23" s="655">
        <f>SUMIF(טבלה3540[עמודה1],טבלה38[[#This Row],[קוד מוצר]],טבלה3540[הזמנה])</f>
        <v>0</v>
      </c>
      <c r="X23" s="655">
        <f>SUMIF(טבלה3441[עמודה1],טבלה38[[#This Row],[קוד מוצר]],טבלה3441[הזמנה])</f>
        <v>0</v>
      </c>
      <c r="Y23" s="655">
        <f>SUMIF(טבלה24[מקט],טבלה38[[#This Row],[קוד מוצר]],טבלה24[כמות])</f>
        <v>0</v>
      </c>
      <c r="Z23" s="655">
        <f>SUMIF(טבלה628[קוד מוצר],טבלה38[[#This Row],[קוד מוצר]],טבלה628[תוספת])</f>
        <v>0</v>
      </c>
      <c r="AA23" s="610">
        <f>טבלה38[[#This Row],[פימת קפה]]*טבלה38[[#This Row],[מחיר ליח'' כולל ]]</f>
        <v>0</v>
      </c>
      <c r="AB23" s="610">
        <f>טבלה38[[#This Row],[פת שחרית]]*טבלה38[[#This Row],[מחיר ליח'' כולל ]]</f>
        <v>0</v>
      </c>
      <c r="AC23" s="610">
        <f>טבלה38[[#This Row],[א. בוקר פריסה]]*טבלה38[[#This Row],[מחיר ליח'' כולל ]]</f>
        <v>0</v>
      </c>
      <c r="AD23" s="666">
        <f>טבלה38[[#This Row],[א. צהררים פריסה ]]*טבלה38[[#This Row],[מחיר ליח'' כולל ]]</f>
        <v>0</v>
      </c>
      <c r="AE23" s="666">
        <f>טבלה38[[#This Row],[בוקר קיטים]]*טבלה38[[#This Row],[מחיר ליח'' כולל ]]</f>
        <v>0</v>
      </c>
      <c r="AF23" s="666">
        <f>טבלה38[[#This Row],[צהריים קיטים]]*טבלה38[[#This Row],[מחיר ליח'' כולל ]]</f>
        <v>0</v>
      </c>
      <c r="AG23" s="666">
        <f>טבלה38[[#This Row],[פריסת אמצע]]*טבלה38[[#This Row],[מחיר ליח'' כולל ]]</f>
        <v>0</v>
      </c>
      <c r="AH23" s="666">
        <f>טבלה38[[#This Row],[מרק]]*טבלה38[[#This Row],[מחיר ליח'' כולל ]]</f>
        <v>0</v>
      </c>
      <c r="AI23" s="666">
        <f>טבלה38[[#This Row],[ערב בישול 1]]*טבלה38[[#This Row],[מחיר ליח'' כולל ]]</f>
        <v>0</v>
      </c>
      <c r="AJ23" s="666">
        <f>טבלה38[[#This Row],[ערב בישול 2]]*טבלה38[[#This Row],[מחיר ליח'' כולל ]]</f>
        <v>0</v>
      </c>
      <c r="AK23" s="666">
        <f>טבלה38[[#This Row],[ערב בישול 3]]*טבלה38[[#This Row],[מחיר ליח'' כולל ]]</f>
        <v>0</v>
      </c>
      <c r="AL23" s="666">
        <f>טבלה38[[#This Row],[ערב קטן 1]]*טבלה38[[#This Row],[מחיר ליח'' כולל ]]</f>
        <v>0</v>
      </c>
      <c r="AM23" s="666">
        <f>טבלה38[[#This Row],[ערב קטן 2]]*טבלה38[[#This Row],[מחיר ליח'' כולל ]]</f>
        <v>0</v>
      </c>
      <c r="AN23" s="666">
        <f>טבלה38[[#This Row],[ערב קטן 3]]*טבלה38[[#This Row],[מחיר ליח'' כולל ]]</f>
        <v>0</v>
      </c>
      <c r="AO23" s="666">
        <f>טבלה38[[#This Row],[קיטים מיוחדים]]*טבלה38[[#This Row],[מחיר ליח'' כולל ]]</f>
        <v>0</v>
      </c>
      <c r="AP23" s="666">
        <f>טבלה38[[#This Row],[תוספות]]*טבלה38[[#This Row],[מחיר ליח'' כולל ]]</f>
        <v>0</v>
      </c>
    </row>
    <row r="24" spans="2:42" ht="14.4">
      <c r="B24" s="651">
        <v>5833</v>
      </c>
      <c r="C24" s="650" t="s">
        <v>1047</v>
      </c>
      <c r="D24" s="650" t="s">
        <v>240</v>
      </c>
      <c r="E24" s="650"/>
      <c r="F24" s="649" t="str">
        <f>IF(טבלה38[[#This Row],[סה"כ]]&gt;0,טבלה38[[#This Row],[סה"כ]],"")</f>
        <v/>
      </c>
      <c r="G24" s="656">
        <v>0.17</v>
      </c>
      <c r="H24" s="655">
        <f>טבלה38[[#This Row],[מחיר]]+טבלה38[[#This Row],[% מע"מ]]*טבלה38[[#This Row],[מחיר]]</f>
        <v>0</v>
      </c>
      <c r="I24" s="630">
        <f>טבלה38[[#This Row],[סה"כ]]*טבלה38[[#This Row],[מחיר ליח'' כולל ]]</f>
        <v>0</v>
      </c>
      <c r="J24" s="655">
        <f>SUM(טבלה38[[#This Row],[פימת קפה]:[תוספות]])</f>
        <v>0</v>
      </c>
      <c r="K24" s="655">
        <f>SUMIF(טבלה11517[מקט],טבלה38[[#This Row],[קוד מוצר]],טבלה11517[כמות])</f>
        <v>0</v>
      </c>
      <c r="L24" s="655">
        <f>SUMIF(טבלה115179[מקט],טבלה38[[#This Row],[קוד מוצר]],טבלה115179[כמות])</f>
        <v>0</v>
      </c>
      <c r="M24" s="655">
        <f>SUMIF(טבלה115[מקט],טבלה38[[#This Row],[קוד מוצר]],טבלה115[כמות])</f>
        <v>0</v>
      </c>
      <c r="N24" s="655">
        <f>SUMIF(טבלה1[מק"ט],טבלה38[[#This Row],[קוד מוצר]],טבלה1[כמות])</f>
        <v>0</v>
      </c>
      <c r="O24" s="655">
        <f>SUMIF(טבלה8[מק"ט],טבלה38[[#This Row],[קוד מוצר]],טבלה8[הזמנה])</f>
        <v>0</v>
      </c>
      <c r="P24" s="655">
        <f>SUMIF(טבלה15[מק"ט],טבלה38[[#This Row],[קוד מוצר]],טבלה15[הזמנה])</f>
        <v>0</v>
      </c>
      <c r="Q24" s="655">
        <f>SUMIF(טבלה1151718[מקט],טבלה38[[#This Row],[קוד מוצר]],טבלה1151718[כמות])</f>
        <v>0</v>
      </c>
      <c r="R24" s="655">
        <f>SUMIF(טבלה125[מקט],טבלה38[[#This Row],[קוד מוצר]],טבלה125[כמות])</f>
        <v>0</v>
      </c>
      <c r="S24" s="655">
        <f>SUMIF(טבלה33[מק"ט],טבלה38[[#This Row],[קוד מוצר]],טבלה33[הזמנה])</f>
        <v>0</v>
      </c>
      <c r="T24" s="655">
        <f>SUMIF(טבלה34[עמודה1],טבלה38[[#This Row],[קוד מוצר]],טבלה34[הזמנה])</f>
        <v>0</v>
      </c>
      <c r="U24" s="655">
        <f>SUMIF(טבלה35[עמודה1],טבלה38[[#This Row],[קוד מוצר]],טבלה35[הזמנה])</f>
        <v>0</v>
      </c>
      <c r="V24" s="655">
        <f>SUMIF(טבלה3338[מק"ט],טבלה38[[#This Row],[קוד מוצר]],טבלה3338[הזמנה])</f>
        <v>0</v>
      </c>
      <c r="W24" s="655">
        <f>SUMIF(טבלה3540[עמודה1],טבלה38[[#This Row],[קוד מוצר]],טבלה3540[הזמנה])</f>
        <v>0</v>
      </c>
      <c r="X24" s="655">
        <f>SUMIF(טבלה3441[עמודה1],טבלה38[[#This Row],[קוד מוצר]],טבלה3441[הזמנה])</f>
        <v>0</v>
      </c>
      <c r="Y24" s="655">
        <f>SUMIF(טבלה24[מקט],טבלה38[[#This Row],[קוד מוצר]],טבלה24[כמות])</f>
        <v>0</v>
      </c>
      <c r="Z24" s="655">
        <f>SUMIF(טבלה628[קוד מוצר],טבלה38[[#This Row],[קוד מוצר]],טבלה628[תוספת])</f>
        <v>0</v>
      </c>
      <c r="AA24" s="610">
        <f>טבלה38[[#This Row],[פימת קפה]]*טבלה38[[#This Row],[מחיר ליח'' כולל ]]</f>
        <v>0</v>
      </c>
      <c r="AB24" s="610">
        <f>טבלה38[[#This Row],[פת שחרית]]*טבלה38[[#This Row],[מחיר ליח'' כולל ]]</f>
        <v>0</v>
      </c>
      <c r="AC24" s="610">
        <f>טבלה38[[#This Row],[א. בוקר פריסה]]*טבלה38[[#This Row],[מחיר ליח'' כולל ]]</f>
        <v>0</v>
      </c>
      <c r="AD24" s="666">
        <f>טבלה38[[#This Row],[א. צהררים פריסה ]]*טבלה38[[#This Row],[מחיר ליח'' כולל ]]</f>
        <v>0</v>
      </c>
      <c r="AE24" s="666">
        <f>טבלה38[[#This Row],[בוקר קיטים]]*טבלה38[[#This Row],[מחיר ליח'' כולל ]]</f>
        <v>0</v>
      </c>
      <c r="AF24" s="666">
        <f>טבלה38[[#This Row],[צהריים קיטים]]*טבלה38[[#This Row],[מחיר ליח'' כולל ]]</f>
        <v>0</v>
      </c>
      <c r="AG24" s="666">
        <f>טבלה38[[#This Row],[פריסת אמצע]]*טבלה38[[#This Row],[מחיר ליח'' כולל ]]</f>
        <v>0</v>
      </c>
      <c r="AH24" s="666">
        <f>טבלה38[[#This Row],[מרק]]*טבלה38[[#This Row],[מחיר ליח'' כולל ]]</f>
        <v>0</v>
      </c>
      <c r="AI24" s="666">
        <f>טבלה38[[#This Row],[ערב בישול 1]]*טבלה38[[#This Row],[מחיר ליח'' כולל ]]</f>
        <v>0</v>
      </c>
      <c r="AJ24" s="666">
        <f>טבלה38[[#This Row],[ערב בישול 2]]*טבלה38[[#This Row],[מחיר ליח'' כולל ]]</f>
        <v>0</v>
      </c>
      <c r="AK24" s="666">
        <f>טבלה38[[#This Row],[ערב בישול 3]]*טבלה38[[#This Row],[מחיר ליח'' כולל ]]</f>
        <v>0</v>
      </c>
      <c r="AL24" s="666">
        <f>טבלה38[[#This Row],[ערב קטן 1]]*טבלה38[[#This Row],[מחיר ליח'' כולל ]]</f>
        <v>0</v>
      </c>
      <c r="AM24" s="666">
        <f>טבלה38[[#This Row],[ערב קטן 2]]*טבלה38[[#This Row],[מחיר ליח'' כולל ]]</f>
        <v>0</v>
      </c>
      <c r="AN24" s="666">
        <f>טבלה38[[#This Row],[ערב קטן 3]]*טבלה38[[#This Row],[מחיר ליח'' כולל ]]</f>
        <v>0</v>
      </c>
      <c r="AO24" s="666">
        <f>טבלה38[[#This Row],[קיטים מיוחדים]]*טבלה38[[#This Row],[מחיר ליח'' כולל ]]</f>
        <v>0</v>
      </c>
      <c r="AP24" s="666">
        <f>טבלה38[[#This Row],[תוספות]]*טבלה38[[#This Row],[מחיר ליח'' כולל ]]</f>
        <v>0</v>
      </c>
    </row>
    <row r="25" spans="2:42" ht="14.4">
      <c r="B25" s="651">
        <v>10235</v>
      </c>
      <c r="C25" s="650" t="s">
        <v>1032</v>
      </c>
      <c r="D25" s="650" t="s">
        <v>602</v>
      </c>
      <c r="E25" s="650"/>
      <c r="F25" s="649" t="str">
        <f>IF(טבלה38[[#This Row],[סה"כ]]&gt;0,טבלה38[[#This Row],[סה"כ]],"")</f>
        <v/>
      </c>
      <c r="G25" s="656">
        <v>0.17</v>
      </c>
      <c r="H25" s="655">
        <f>טבלה38[[#This Row],[מחיר]]+טבלה38[[#This Row],[% מע"מ]]*טבלה38[[#This Row],[מחיר]]</f>
        <v>0</v>
      </c>
      <c r="I25" s="630">
        <f>טבלה38[[#This Row],[סה"כ]]*טבלה38[[#This Row],[מחיר ליח'' כולל ]]</f>
        <v>0</v>
      </c>
      <c r="J25" s="655">
        <f>SUM(טבלה38[[#This Row],[פימת קפה]:[תוספות]])</f>
        <v>0</v>
      </c>
      <c r="K25" s="655">
        <f>SUMIF(טבלה11517[מקט],טבלה38[[#This Row],[קוד מוצר]],טבלה11517[כמות])</f>
        <v>0</v>
      </c>
      <c r="L25" s="655">
        <f>SUMIF(טבלה115179[מקט],טבלה38[[#This Row],[קוד מוצר]],טבלה115179[כמות])</f>
        <v>0</v>
      </c>
      <c r="M25" s="655">
        <f>SUMIF(טבלה115[מקט],טבלה38[[#This Row],[קוד מוצר]],טבלה115[כמות])</f>
        <v>0</v>
      </c>
      <c r="N25" s="655">
        <f>SUMIF(טבלה1[מק"ט],טבלה38[[#This Row],[קוד מוצר]],טבלה1[כמות])</f>
        <v>0</v>
      </c>
      <c r="O25" s="655">
        <f>SUMIF(טבלה8[מק"ט],טבלה38[[#This Row],[קוד מוצר]],טבלה8[הזמנה])</f>
        <v>0</v>
      </c>
      <c r="P25" s="655">
        <f>SUMIF(טבלה15[מק"ט],טבלה38[[#This Row],[קוד מוצר]],טבלה15[הזמנה])</f>
        <v>0</v>
      </c>
      <c r="Q25" s="655">
        <f>SUMIF(טבלה1151718[מקט],טבלה38[[#This Row],[קוד מוצר]],טבלה1151718[כמות])</f>
        <v>0</v>
      </c>
      <c r="R25" s="655">
        <f>SUMIF(טבלה125[מקט],טבלה38[[#This Row],[קוד מוצר]],טבלה125[כמות])</f>
        <v>0</v>
      </c>
      <c r="S25" s="655">
        <f>SUMIF(טבלה33[מק"ט],טבלה38[[#This Row],[קוד מוצר]],טבלה33[הזמנה])</f>
        <v>0</v>
      </c>
      <c r="T25" s="655">
        <f>SUMIF(טבלה34[עמודה1],טבלה38[[#This Row],[קוד מוצר]],טבלה34[הזמנה])</f>
        <v>0</v>
      </c>
      <c r="U25" s="655">
        <f>SUMIF(טבלה35[עמודה1],טבלה38[[#This Row],[קוד מוצר]],טבלה35[הזמנה])</f>
        <v>0</v>
      </c>
      <c r="V25" s="655">
        <f>SUMIF(טבלה3338[מק"ט],טבלה38[[#This Row],[קוד מוצר]],טבלה3338[הזמנה])</f>
        <v>0</v>
      </c>
      <c r="W25" s="655">
        <f>SUMIF(טבלה3540[עמודה1],טבלה38[[#This Row],[קוד מוצר]],טבלה3540[הזמנה])</f>
        <v>0</v>
      </c>
      <c r="X25" s="655">
        <f>SUMIF(טבלה3441[עמודה1],טבלה38[[#This Row],[קוד מוצר]],טבלה3441[הזמנה])</f>
        <v>0</v>
      </c>
      <c r="Y25" s="655">
        <f>SUMIF(טבלה24[מקט],טבלה38[[#This Row],[קוד מוצר]],טבלה24[כמות])</f>
        <v>0</v>
      </c>
      <c r="Z25" s="655">
        <f>SUMIF(טבלה628[קוד מוצר],טבלה38[[#This Row],[קוד מוצר]],טבלה628[תוספת])</f>
        <v>0</v>
      </c>
      <c r="AA25" s="610">
        <f>טבלה38[[#This Row],[פימת קפה]]*טבלה38[[#This Row],[מחיר ליח'' כולל ]]</f>
        <v>0</v>
      </c>
      <c r="AB25" s="610">
        <f>טבלה38[[#This Row],[פת שחרית]]*טבלה38[[#This Row],[מחיר ליח'' כולל ]]</f>
        <v>0</v>
      </c>
      <c r="AC25" s="610">
        <f>טבלה38[[#This Row],[א. בוקר פריסה]]*טבלה38[[#This Row],[מחיר ליח'' כולל ]]</f>
        <v>0</v>
      </c>
      <c r="AD25" s="666">
        <f>טבלה38[[#This Row],[א. צהררים פריסה ]]*טבלה38[[#This Row],[מחיר ליח'' כולל ]]</f>
        <v>0</v>
      </c>
      <c r="AE25" s="666">
        <f>טבלה38[[#This Row],[בוקר קיטים]]*טבלה38[[#This Row],[מחיר ליח'' כולל ]]</f>
        <v>0</v>
      </c>
      <c r="AF25" s="666">
        <f>טבלה38[[#This Row],[צהריים קיטים]]*טבלה38[[#This Row],[מחיר ליח'' כולל ]]</f>
        <v>0</v>
      </c>
      <c r="AG25" s="666">
        <f>טבלה38[[#This Row],[פריסת אמצע]]*טבלה38[[#This Row],[מחיר ליח'' כולל ]]</f>
        <v>0</v>
      </c>
      <c r="AH25" s="666">
        <f>טבלה38[[#This Row],[מרק]]*טבלה38[[#This Row],[מחיר ליח'' כולל ]]</f>
        <v>0</v>
      </c>
      <c r="AI25" s="666">
        <f>טבלה38[[#This Row],[ערב בישול 1]]*טבלה38[[#This Row],[מחיר ליח'' כולל ]]</f>
        <v>0</v>
      </c>
      <c r="AJ25" s="666">
        <f>טבלה38[[#This Row],[ערב בישול 2]]*טבלה38[[#This Row],[מחיר ליח'' כולל ]]</f>
        <v>0</v>
      </c>
      <c r="AK25" s="666">
        <f>טבלה38[[#This Row],[ערב בישול 3]]*טבלה38[[#This Row],[מחיר ליח'' כולל ]]</f>
        <v>0</v>
      </c>
      <c r="AL25" s="666">
        <f>טבלה38[[#This Row],[ערב קטן 1]]*טבלה38[[#This Row],[מחיר ליח'' כולל ]]</f>
        <v>0</v>
      </c>
      <c r="AM25" s="666">
        <f>טבלה38[[#This Row],[ערב קטן 2]]*טבלה38[[#This Row],[מחיר ליח'' כולל ]]</f>
        <v>0</v>
      </c>
      <c r="AN25" s="666">
        <f>טבלה38[[#This Row],[ערב קטן 3]]*טבלה38[[#This Row],[מחיר ליח'' כולל ]]</f>
        <v>0</v>
      </c>
      <c r="AO25" s="666">
        <f>טבלה38[[#This Row],[קיטים מיוחדים]]*טבלה38[[#This Row],[מחיר ליח'' כולל ]]</f>
        <v>0</v>
      </c>
      <c r="AP25" s="666">
        <f>טבלה38[[#This Row],[תוספות]]*טבלה38[[#This Row],[מחיר ליח'' כולל ]]</f>
        <v>0</v>
      </c>
    </row>
    <row r="26" spans="2:42" ht="14.4">
      <c r="B26" s="651">
        <v>11182</v>
      </c>
      <c r="C26" s="650" t="s">
        <v>1053</v>
      </c>
      <c r="E26" s="650"/>
      <c r="F26" s="649" t="str">
        <f>IF(טבלה38[[#This Row],[סה"כ]]&gt;0,טבלה38[[#This Row],[סה"כ]],"")</f>
        <v/>
      </c>
      <c r="G26" s="656">
        <v>0.17</v>
      </c>
      <c r="H26" s="655">
        <f>טבלה38[[#This Row],[מחיר]]+טבלה38[[#This Row],[% מע"מ]]*טבלה38[[#This Row],[מחיר]]</f>
        <v>0</v>
      </c>
      <c r="I26" s="630">
        <f>טבלה38[[#This Row],[סה"כ]]*טבלה38[[#This Row],[מחיר ליח'' כולל ]]</f>
        <v>0</v>
      </c>
      <c r="J26" s="655">
        <f>SUM(טבלה38[[#This Row],[פימת קפה]:[תוספות]])</f>
        <v>0</v>
      </c>
      <c r="K26" s="655">
        <f>SUMIF(טבלה11517[מקט],טבלה38[[#This Row],[קוד מוצר]],טבלה11517[כמות])</f>
        <v>0</v>
      </c>
      <c r="L26" s="655">
        <f>SUMIF(טבלה115179[מקט],טבלה38[[#This Row],[קוד מוצר]],טבלה115179[כמות])</f>
        <v>0</v>
      </c>
      <c r="M26" s="655">
        <f>SUMIF(טבלה115[מקט],טבלה38[[#This Row],[קוד מוצר]],טבלה115[כמות])</f>
        <v>0</v>
      </c>
      <c r="N26" s="655">
        <f>SUMIF(טבלה1[מק"ט],טבלה38[[#This Row],[קוד מוצר]],טבלה1[כמות])</f>
        <v>0</v>
      </c>
      <c r="O26" s="655">
        <f>SUMIF(טבלה8[מק"ט],טבלה38[[#This Row],[קוד מוצר]],טבלה8[הזמנה])</f>
        <v>0</v>
      </c>
      <c r="P26" s="655">
        <f>SUMIF(טבלה15[מק"ט],טבלה38[[#This Row],[קוד מוצר]],טבלה15[הזמנה])</f>
        <v>0</v>
      </c>
      <c r="Q26" s="655">
        <f>SUMIF(טבלה1151718[מקט],טבלה38[[#This Row],[קוד מוצר]],טבלה1151718[כמות])</f>
        <v>0</v>
      </c>
      <c r="R26" s="655">
        <f>SUMIF(טבלה125[מקט],טבלה38[[#This Row],[קוד מוצר]],טבלה125[כמות])</f>
        <v>0</v>
      </c>
      <c r="S26" s="655">
        <f>SUMIF(טבלה33[מק"ט],טבלה38[[#This Row],[קוד מוצר]],טבלה33[הזמנה])</f>
        <v>0</v>
      </c>
      <c r="T26" s="655">
        <f>SUMIF(טבלה34[עמודה1],טבלה38[[#This Row],[קוד מוצר]],טבלה34[הזמנה])</f>
        <v>0</v>
      </c>
      <c r="U26" s="655">
        <f>SUMIF(טבלה35[עמודה1],טבלה38[[#This Row],[קוד מוצר]],טבלה35[הזמנה])</f>
        <v>0</v>
      </c>
      <c r="V26" s="655">
        <f>SUMIF(טבלה3338[מק"ט],טבלה38[[#This Row],[קוד מוצר]],טבלה3338[הזמנה])</f>
        <v>0</v>
      </c>
      <c r="W26" s="655">
        <f>SUMIF(טבלה3540[עמודה1],טבלה38[[#This Row],[קוד מוצר]],טבלה3540[הזמנה])</f>
        <v>0</v>
      </c>
      <c r="X26" s="655">
        <f>SUMIF(טבלה3441[עמודה1],טבלה38[[#This Row],[קוד מוצר]],טבלה3441[הזמנה])</f>
        <v>0</v>
      </c>
      <c r="Y26" s="655">
        <f>SUMIF(טבלה24[מקט],טבלה38[[#This Row],[קוד מוצר]],טבלה24[כמות])</f>
        <v>0</v>
      </c>
      <c r="Z26" s="655">
        <f>SUMIF(טבלה628[קוד מוצר],טבלה38[[#This Row],[קוד מוצר]],טבלה628[תוספת])</f>
        <v>0</v>
      </c>
      <c r="AA26" s="610">
        <f>טבלה38[[#This Row],[פימת קפה]]*טבלה38[[#This Row],[מחיר ליח'' כולל ]]</f>
        <v>0</v>
      </c>
      <c r="AB26" s="610">
        <f>טבלה38[[#This Row],[פת שחרית]]*טבלה38[[#This Row],[מחיר ליח'' כולל ]]</f>
        <v>0</v>
      </c>
      <c r="AC26" s="610">
        <f>טבלה38[[#This Row],[א. בוקר פריסה]]*טבלה38[[#This Row],[מחיר ליח'' כולל ]]</f>
        <v>0</v>
      </c>
      <c r="AD26" s="666">
        <f>טבלה38[[#This Row],[א. צהררים פריסה ]]*טבלה38[[#This Row],[מחיר ליח'' כולל ]]</f>
        <v>0</v>
      </c>
      <c r="AE26" s="666">
        <f>טבלה38[[#This Row],[בוקר קיטים]]*טבלה38[[#This Row],[מחיר ליח'' כולל ]]</f>
        <v>0</v>
      </c>
      <c r="AF26" s="666">
        <f>טבלה38[[#This Row],[צהריים קיטים]]*טבלה38[[#This Row],[מחיר ליח'' כולל ]]</f>
        <v>0</v>
      </c>
      <c r="AG26" s="666">
        <f>טבלה38[[#This Row],[פריסת אמצע]]*טבלה38[[#This Row],[מחיר ליח'' כולל ]]</f>
        <v>0</v>
      </c>
      <c r="AH26" s="666">
        <f>טבלה38[[#This Row],[מרק]]*טבלה38[[#This Row],[מחיר ליח'' כולל ]]</f>
        <v>0</v>
      </c>
      <c r="AI26" s="666">
        <f>טבלה38[[#This Row],[ערב בישול 1]]*טבלה38[[#This Row],[מחיר ליח'' כולל ]]</f>
        <v>0</v>
      </c>
      <c r="AJ26" s="666">
        <f>טבלה38[[#This Row],[ערב בישול 2]]*טבלה38[[#This Row],[מחיר ליח'' כולל ]]</f>
        <v>0</v>
      </c>
      <c r="AK26" s="666">
        <f>טבלה38[[#This Row],[ערב בישול 3]]*טבלה38[[#This Row],[מחיר ליח'' כולל ]]</f>
        <v>0</v>
      </c>
      <c r="AL26" s="666">
        <f>טבלה38[[#This Row],[ערב קטן 1]]*טבלה38[[#This Row],[מחיר ליח'' כולל ]]</f>
        <v>0</v>
      </c>
      <c r="AM26" s="666">
        <f>טבלה38[[#This Row],[ערב קטן 2]]*טבלה38[[#This Row],[מחיר ליח'' כולל ]]</f>
        <v>0</v>
      </c>
      <c r="AN26" s="666">
        <f>טבלה38[[#This Row],[ערב קטן 3]]*טבלה38[[#This Row],[מחיר ליח'' כולל ]]</f>
        <v>0</v>
      </c>
      <c r="AO26" s="666">
        <f>טבלה38[[#This Row],[קיטים מיוחדים]]*טבלה38[[#This Row],[מחיר ליח'' כולל ]]</f>
        <v>0</v>
      </c>
      <c r="AP26" s="666">
        <f>טבלה38[[#This Row],[תוספות]]*טבלה38[[#This Row],[מחיר ליח'' כולל ]]</f>
        <v>0</v>
      </c>
    </row>
    <row r="27" spans="2:42" ht="14.4">
      <c r="B27" s="651">
        <v>11318</v>
      </c>
      <c r="C27" s="650" t="s">
        <v>1055</v>
      </c>
      <c r="E27" s="650"/>
      <c r="F27" s="649" t="str">
        <f>IF(טבלה38[[#This Row],[סה"כ]]&gt;0,טבלה38[[#This Row],[סה"כ]],"")</f>
        <v/>
      </c>
      <c r="G27" s="656">
        <v>0.17</v>
      </c>
      <c r="H27" s="655">
        <f>טבלה38[[#This Row],[מחיר]]+טבלה38[[#This Row],[% מע"מ]]*טבלה38[[#This Row],[מחיר]]</f>
        <v>0</v>
      </c>
      <c r="I27" s="630">
        <f>טבלה38[[#This Row],[סה"כ]]*טבלה38[[#This Row],[מחיר ליח'' כולל ]]</f>
        <v>0</v>
      </c>
      <c r="J27" s="655">
        <f>SUM(טבלה38[[#This Row],[פימת קפה]:[תוספות]])</f>
        <v>0</v>
      </c>
      <c r="K27" s="655">
        <f>SUMIF(טבלה11517[מקט],טבלה38[[#This Row],[קוד מוצר]],טבלה11517[כמות])</f>
        <v>0</v>
      </c>
      <c r="L27" s="655">
        <f>SUMIF(טבלה115179[מקט],טבלה38[[#This Row],[קוד מוצר]],טבלה115179[כמות])</f>
        <v>0</v>
      </c>
      <c r="M27" s="655">
        <f>SUMIF(טבלה115[מקט],טבלה38[[#This Row],[קוד מוצר]],טבלה115[כמות])</f>
        <v>0</v>
      </c>
      <c r="N27" s="655">
        <f>SUMIF(טבלה1[מק"ט],טבלה38[[#This Row],[קוד מוצר]],טבלה1[כמות])</f>
        <v>0</v>
      </c>
      <c r="O27" s="655">
        <f>SUMIF(טבלה8[מק"ט],טבלה38[[#This Row],[קוד מוצר]],טבלה8[הזמנה])</f>
        <v>0</v>
      </c>
      <c r="P27" s="655">
        <f>SUMIF(טבלה15[מק"ט],טבלה38[[#This Row],[קוד מוצר]],טבלה15[הזמנה])</f>
        <v>0</v>
      </c>
      <c r="Q27" s="655">
        <f>SUMIF(טבלה1151718[מקט],טבלה38[[#This Row],[קוד מוצר]],טבלה1151718[כמות])</f>
        <v>0</v>
      </c>
      <c r="R27" s="655">
        <f>SUMIF(טבלה125[מקט],טבלה38[[#This Row],[קוד מוצר]],טבלה125[כמות])</f>
        <v>0</v>
      </c>
      <c r="S27" s="655">
        <f>SUMIF(טבלה33[מק"ט],טבלה38[[#This Row],[קוד מוצר]],טבלה33[הזמנה])</f>
        <v>0</v>
      </c>
      <c r="T27" s="655">
        <f>SUMIF(טבלה34[עמודה1],טבלה38[[#This Row],[קוד מוצר]],טבלה34[הזמנה])</f>
        <v>0</v>
      </c>
      <c r="U27" s="655">
        <f>SUMIF(טבלה35[עמודה1],טבלה38[[#This Row],[קוד מוצר]],טבלה35[הזמנה])</f>
        <v>0</v>
      </c>
      <c r="V27" s="655">
        <f>SUMIF(טבלה3338[מק"ט],טבלה38[[#This Row],[קוד מוצר]],טבלה3338[הזמנה])</f>
        <v>0</v>
      </c>
      <c r="W27" s="655">
        <f>SUMIF(טבלה3540[עמודה1],טבלה38[[#This Row],[קוד מוצר]],טבלה3540[הזמנה])</f>
        <v>0</v>
      </c>
      <c r="X27" s="655">
        <f>SUMIF(טבלה3441[עמודה1],טבלה38[[#This Row],[קוד מוצר]],טבלה3441[הזמנה])</f>
        <v>0</v>
      </c>
      <c r="Y27" s="655">
        <f>SUMIF(טבלה24[מקט],טבלה38[[#This Row],[קוד מוצר]],טבלה24[כמות])</f>
        <v>0</v>
      </c>
      <c r="Z27" s="655">
        <f>SUMIF(טבלה628[קוד מוצר],טבלה38[[#This Row],[קוד מוצר]],טבלה628[תוספת])</f>
        <v>0</v>
      </c>
      <c r="AA27" s="610">
        <f>טבלה38[[#This Row],[פימת קפה]]*טבלה38[[#This Row],[מחיר ליח'' כולל ]]</f>
        <v>0</v>
      </c>
      <c r="AB27" s="610">
        <f>טבלה38[[#This Row],[פת שחרית]]*טבלה38[[#This Row],[מחיר ליח'' כולל ]]</f>
        <v>0</v>
      </c>
      <c r="AC27" s="610">
        <f>טבלה38[[#This Row],[א. בוקר פריסה]]*טבלה38[[#This Row],[מחיר ליח'' כולל ]]</f>
        <v>0</v>
      </c>
      <c r="AD27" s="666">
        <f>טבלה38[[#This Row],[א. צהררים פריסה ]]*טבלה38[[#This Row],[מחיר ליח'' כולל ]]</f>
        <v>0</v>
      </c>
      <c r="AE27" s="666">
        <f>טבלה38[[#This Row],[בוקר קיטים]]*טבלה38[[#This Row],[מחיר ליח'' כולל ]]</f>
        <v>0</v>
      </c>
      <c r="AF27" s="666">
        <f>טבלה38[[#This Row],[צהריים קיטים]]*טבלה38[[#This Row],[מחיר ליח'' כולל ]]</f>
        <v>0</v>
      </c>
      <c r="AG27" s="666">
        <f>טבלה38[[#This Row],[פריסת אמצע]]*טבלה38[[#This Row],[מחיר ליח'' כולל ]]</f>
        <v>0</v>
      </c>
      <c r="AH27" s="666">
        <f>טבלה38[[#This Row],[מרק]]*טבלה38[[#This Row],[מחיר ליח'' כולל ]]</f>
        <v>0</v>
      </c>
      <c r="AI27" s="666">
        <f>טבלה38[[#This Row],[ערב בישול 1]]*טבלה38[[#This Row],[מחיר ליח'' כולל ]]</f>
        <v>0</v>
      </c>
      <c r="AJ27" s="666">
        <f>טבלה38[[#This Row],[ערב בישול 2]]*טבלה38[[#This Row],[מחיר ליח'' כולל ]]</f>
        <v>0</v>
      </c>
      <c r="AK27" s="666">
        <f>טבלה38[[#This Row],[ערב בישול 3]]*טבלה38[[#This Row],[מחיר ליח'' כולל ]]</f>
        <v>0</v>
      </c>
      <c r="AL27" s="666">
        <f>טבלה38[[#This Row],[ערב קטן 1]]*טבלה38[[#This Row],[מחיר ליח'' כולל ]]</f>
        <v>0</v>
      </c>
      <c r="AM27" s="666">
        <f>טבלה38[[#This Row],[ערב קטן 2]]*טבלה38[[#This Row],[מחיר ליח'' כולל ]]</f>
        <v>0</v>
      </c>
      <c r="AN27" s="666">
        <f>טבלה38[[#This Row],[ערב קטן 3]]*טבלה38[[#This Row],[מחיר ליח'' כולל ]]</f>
        <v>0</v>
      </c>
      <c r="AO27" s="666">
        <f>טבלה38[[#This Row],[קיטים מיוחדים]]*טבלה38[[#This Row],[מחיר ליח'' כולל ]]</f>
        <v>0</v>
      </c>
      <c r="AP27" s="666">
        <f>טבלה38[[#This Row],[תוספות]]*טבלה38[[#This Row],[מחיר ליח'' כולל ]]</f>
        <v>0</v>
      </c>
    </row>
    <row r="28" spans="2:42" ht="14.4">
      <c r="B28" s="651">
        <v>8455</v>
      </c>
      <c r="C28" s="650" t="s">
        <v>1122</v>
      </c>
      <c r="D28" s="650" t="s">
        <v>602</v>
      </c>
      <c r="E28" s="650"/>
      <c r="F28" s="649" t="str">
        <f>IF(טבלה38[[#This Row],[סה"כ]]&gt;0,טבלה38[[#This Row],[סה"כ]],"")</f>
        <v/>
      </c>
      <c r="G28" s="656">
        <v>0.17</v>
      </c>
      <c r="H28" s="655">
        <f>טבלה38[[#This Row],[מחיר]]+טבלה38[[#This Row],[% מע"מ]]*טבלה38[[#This Row],[מחיר]]</f>
        <v>0</v>
      </c>
      <c r="I28" s="630">
        <f>טבלה38[[#This Row],[סה"כ]]*טבלה38[[#This Row],[מחיר ליח'' כולל ]]</f>
        <v>0</v>
      </c>
      <c r="J28" s="655">
        <f>SUM(טבלה38[[#This Row],[פימת קפה]:[תוספות]])</f>
        <v>0</v>
      </c>
      <c r="K28" s="655">
        <f>SUMIF(טבלה11517[מקט],טבלה38[[#This Row],[קוד מוצר]],טבלה11517[כמות])</f>
        <v>0</v>
      </c>
      <c r="L28" s="655">
        <f>SUMIF(טבלה115179[מקט],טבלה38[[#This Row],[קוד מוצר]],טבלה115179[כמות])</f>
        <v>0</v>
      </c>
      <c r="M28" s="655">
        <f>SUMIF(טבלה115[מקט],טבלה38[[#This Row],[קוד מוצר]],טבלה115[כמות])</f>
        <v>0</v>
      </c>
      <c r="N28" s="655">
        <f>SUMIF(טבלה1[מק"ט],טבלה38[[#This Row],[קוד מוצר]],טבלה1[כמות])</f>
        <v>0</v>
      </c>
      <c r="O28" s="655">
        <f>SUMIF(טבלה8[מק"ט],טבלה38[[#This Row],[קוד מוצר]],טבלה8[הזמנה])</f>
        <v>0</v>
      </c>
      <c r="P28" s="655">
        <f>SUMIF(טבלה15[מק"ט],טבלה38[[#This Row],[קוד מוצר]],טבלה15[הזמנה])</f>
        <v>0</v>
      </c>
      <c r="Q28" s="655">
        <f>SUMIF(טבלה1151718[מקט],טבלה38[[#This Row],[קוד מוצר]],טבלה1151718[כמות])</f>
        <v>0</v>
      </c>
      <c r="R28" s="655">
        <f>SUMIF(טבלה125[מקט],טבלה38[[#This Row],[קוד מוצר]],טבלה125[כמות])</f>
        <v>0</v>
      </c>
      <c r="S28" s="655">
        <f>SUMIF(טבלה33[מק"ט],טבלה38[[#This Row],[קוד מוצר]],טבלה33[הזמנה])</f>
        <v>0</v>
      </c>
      <c r="T28" s="655">
        <f>SUMIF(טבלה34[עמודה1],טבלה38[[#This Row],[קוד מוצר]],טבלה34[הזמנה])</f>
        <v>0</v>
      </c>
      <c r="U28" s="655">
        <f>SUMIF(טבלה35[עמודה1],טבלה38[[#This Row],[קוד מוצר]],טבלה35[הזמנה])</f>
        <v>0</v>
      </c>
      <c r="V28" s="655">
        <f>SUMIF(טבלה3338[מק"ט],טבלה38[[#This Row],[קוד מוצר]],טבלה3338[הזמנה])</f>
        <v>0</v>
      </c>
      <c r="W28" s="655">
        <f>SUMIF(טבלה3540[עמודה1],טבלה38[[#This Row],[קוד מוצר]],טבלה3540[הזמנה])</f>
        <v>0</v>
      </c>
      <c r="X28" s="655">
        <f>SUMIF(טבלה3441[עמודה1],טבלה38[[#This Row],[קוד מוצר]],טבלה3441[הזמנה])</f>
        <v>0</v>
      </c>
      <c r="Y28" s="655">
        <f>SUMIF(טבלה24[מקט],טבלה38[[#This Row],[קוד מוצר]],טבלה24[כמות])</f>
        <v>0</v>
      </c>
      <c r="Z28" s="655">
        <f>SUMIF(טבלה628[קוד מוצר],טבלה38[[#This Row],[קוד מוצר]],טבלה628[תוספת])</f>
        <v>0</v>
      </c>
      <c r="AA28" s="610">
        <f>טבלה38[[#This Row],[פימת קפה]]*טבלה38[[#This Row],[מחיר ליח'' כולל ]]</f>
        <v>0</v>
      </c>
      <c r="AB28" s="610">
        <f>טבלה38[[#This Row],[פת שחרית]]*טבלה38[[#This Row],[מחיר ליח'' כולל ]]</f>
        <v>0</v>
      </c>
      <c r="AC28" s="610">
        <f>טבלה38[[#This Row],[א. בוקר פריסה]]*טבלה38[[#This Row],[מחיר ליח'' כולל ]]</f>
        <v>0</v>
      </c>
      <c r="AD28" s="666">
        <f>טבלה38[[#This Row],[א. צהררים פריסה ]]*טבלה38[[#This Row],[מחיר ליח'' כולל ]]</f>
        <v>0</v>
      </c>
      <c r="AE28" s="666">
        <f>טבלה38[[#This Row],[בוקר קיטים]]*טבלה38[[#This Row],[מחיר ליח'' כולל ]]</f>
        <v>0</v>
      </c>
      <c r="AF28" s="666">
        <f>טבלה38[[#This Row],[צהריים קיטים]]*טבלה38[[#This Row],[מחיר ליח'' כולל ]]</f>
        <v>0</v>
      </c>
      <c r="AG28" s="666">
        <f>טבלה38[[#This Row],[פריסת אמצע]]*טבלה38[[#This Row],[מחיר ליח'' כולל ]]</f>
        <v>0</v>
      </c>
      <c r="AH28" s="666">
        <f>טבלה38[[#This Row],[מרק]]*טבלה38[[#This Row],[מחיר ליח'' כולל ]]</f>
        <v>0</v>
      </c>
      <c r="AI28" s="666">
        <f>טבלה38[[#This Row],[ערב בישול 1]]*טבלה38[[#This Row],[מחיר ליח'' כולל ]]</f>
        <v>0</v>
      </c>
      <c r="AJ28" s="666">
        <f>טבלה38[[#This Row],[ערב בישול 2]]*טבלה38[[#This Row],[מחיר ליח'' כולל ]]</f>
        <v>0</v>
      </c>
      <c r="AK28" s="666">
        <f>טבלה38[[#This Row],[ערב בישול 3]]*טבלה38[[#This Row],[מחיר ליח'' כולל ]]</f>
        <v>0</v>
      </c>
      <c r="AL28" s="666">
        <f>טבלה38[[#This Row],[ערב קטן 1]]*טבלה38[[#This Row],[מחיר ליח'' כולל ]]</f>
        <v>0</v>
      </c>
      <c r="AM28" s="666">
        <f>טבלה38[[#This Row],[ערב קטן 2]]*טבלה38[[#This Row],[מחיר ליח'' כולל ]]</f>
        <v>0</v>
      </c>
      <c r="AN28" s="666">
        <f>טבלה38[[#This Row],[ערב קטן 3]]*טבלה38[[#This Row],[מחיר ליח'' כולל ]]</f>
        <v>0</v>
      </c>
      <c r="AO28" s="666">
        <f>טבלה38[[#This Row],[קיטים מיוחדים]]*טבלה38[[#This Row],[מחיר ליח'' כולל ]]</f>
        <v>0</v>
      </c>
      <c r="AP28" s="666">
        <f>טבלה38[[#This Row],[תוספות]]*טבלה38[[#This Row],[מחיר ליח'' כולל ]]</f>
        <v>0</v>
      </c>
    </row>
    <row r="29" spans="2:42" ht="14.4">
      <c r="B29" s="651">
        <v>5874</v>
      </c>
      <c r="C29" s="650" t="s">
        <v>1026</v>
      </c>
      <c r="E29" s="650"/>
      <c r="F29" s="649" t="str">
        <f>IF(טבלה38[[#This Row],[סה"כ]]&gt;0,טבלה38[[#This Row],[סה"כ]],"")</f>
        <v/>
      </c>
      <c r="G29" s="656">
        <v>0.17</v>
      </c>
      <c r="H29" s="655">
        <f>טבלה38[[#This Row],[מחיר]]+טבלה38[[#This Row],[% מע"מ]]*טבלה38[[#This Row],[מחיר]]</f>
        <v>0</v>
      </c>
      <c r="I29" s="630">
        <f>טבלה38[[#This Row],[סה"כ]]*טבלה38[[#This Row],[מחיר ליח'' כולל ]]</f>
        <v>0</v>
      </c>
      <c r="J29" s="655">
        <f>SUM(טבלה38[[#This Row],[פימת קפה]:[תוספות]])</f>
        <v>0</v>
      </c>
      <c r="K29" s="655">
        <f>SUMIF(טבלה11517[מקט],טבלה38[[#This Row],[קוד מוצר]],טבלה11517[כמות])</f>
        <v>0</v>
      </c>
      <c r="L29" s="655">
        <f>SUMIF(טבלה115179[מקט],טבלה38[[#This Row],[קוד מוצר]],טבלה115179[כמות])</f>
        <v>0</v>
      </c>
      <c r="M29" s="655">
        <f>SUMIF(טבלה115[מקט],טבלה38[[#This Row],[קוד מוצר]],טבלה115[כמות])</f>
        <v>0</v>
      </c>
      <c r="N29" s="655">
        <f>SUMIF(טבלה1[מק"ט],טבלה38[[#This Row],[קוד מוצר]],טבלה1[כמות])</f>
        <v>0</v>
      </c>
      <c r="O29" s="655">
        <f>SUMIF(טבלה8[מק"ט],טבלה38[[#This Row],[קוד מוצר]],טבלה8[הזמנה])</f>
        <v>0</v>
      </c>
      <c r="P29" s="655">
        <f>SUMIF(טבלה15[מק"ט],טבלה38[[#This Row],[קוד מוצר]],טבלה15[הזמנה])</f>
        <v>0</v>
      </c>
      <c r="Q29" s="655">
        <f>SUMIF(טבלה1151718[מקט],טבלה38[[#This Row],[קוד מוצר]],טבלה1151718[כמות])</f>
        <v>0</v>
      </c>
      <c r="R29" s="655">
        <f>SUMIF(טבלה125[מקט],טבלה38[[#This Row],[קוד מוצר]],טבלה125[כמות])</f>
        <v>0</v>
      </c>
      <c r="S29" s="655">
        <f>SUMIF(טבלה33[מק"ט],טבלה38[[#This Row],[קוד מוצר]],טבלה33[הזמנה])</f>
        <v>0</v>
      </c>
      <c r="T29" s="655">
        <f>SUMIF(טבלה34[עמודה1],טבלה38[[#This Row],[קוד מוצר]],טבלה34[הזמנה])</f>
        <v>0</v>
      </c>
      <c r="U29" s="655">
        <f>SUMIF(טבלה35[עמודה1],טבלה38[[#This Row],[קוד מוצר]],טבלה35[הזמנה])</f>
        <v>0</v>
      </c>
      <c r="V29" s="655">
        <f>SUMIF(טבלה3338[מק"ט],טבלה38[[#This Row],[קוד מוצר]],טבלה3338[הזמנה])</f>
        <v>0</v>
      </c>
      <c r="W29" s="655">
        <f>SUMIF(טבלה3540[עמודה1],טבלה38[[#This Row],[קוד מוצר]],טבלה3540[הזמנה])</f>
        <v>0</v>
      </c>
      <c r="X29" s="655">
        <f>SUMIF(טבלה3441[עמודה1],טבלה38[[#This Row],[קוד מוצר]],טבלה3441[הזמנה])</f>
        <v>0</v>
      </c>
      <c r="Y29" s="655">
        <f>SUMIF(טבלה24[מקט],טבלה38[[#This Row],[קוד מוצר]],טבלה24[כמות])</f>
        <v>0</v>
      </c>
      <c r="Z29" s="655">
        <f>SUMIF(טבלה628[קוד מוצר],טבלה38[[#This Row],[קוד מוצר]],טבלה628[תוספת])</f>
        <v>0</v>
      </c>
      <c r="AA29" s="610">
        <f>טבלה38[[#This Row],[פימת קפה]]*טבלה38[[#This Row],[מחיר ליח'' כולל ]]</f>
        <v>0</v>
      </c>
      <c r="AB29" s="610">
        <f>טבלה38[[#This Row],[פת שחרית]]*טבלה38[[#This Row],[מחיר ליח'' כולל ]]</f>
        <v>0</v>
      </c>
      <c r="AC29" s="610">
        <f>טבלה38[[#This Row],[א. בוקר פריסה]]*טבלה38[[#This Row],[מחיר ליח'' כולל ]]</f>
        <v>0</v>
      </c>
      <c r="AD29" s="666">
        <f>טבלה38[[#This Row],[א. צהררים פריסה ]]*טבלה38[[#This Row],[מחיר ליח'' כולל ]]</f>
        <v>0</v>
      </c>
      <c r="AE29" s="666">
        <f>טבלה38[[#This Row],[בוקר קיטים]]*טבלה38[[#This Row],[מחיר ליח'' כולל ]]</f>
        <v>0</v>
      </c>
      <c r="AF29" s="666">
        <f>טבלה38[[#This Row],[צהריים קיטים]]*טבלה38[[#This Row],[מחיר ליח'' כולל ]]</f>
        <v>0</v>
      </c>
      <c r="AG29" s="666">
        <f>טבלה38[[#This Row],[פריסת אמצע]]*טבלה38[[#This Row],[מחיר ליח'' כולל ]]</f>
        <v>0</v>
      </c>
      <c r="AH29" s="666">
        <f>טבלה38[[#This Row],[מרק]]*טבלה38[[#This Row],[מחיר ליח'' כולל ]]</f>
        <v>0</v>
      </c>
      <c r="AI29" s="666">
        <f>טבלה38[[#This Row],[ערב בישול 1]]*טבלה38[[#This Row],[מחיר ליח'' כולל ]]</f>
        <v>0</v>
      </c>
      <c r="AJ29" s="666">
        <f>טבלה38[[#This Row],[ערב בישול 2]]*טבלה38[[#This Row],[מחיר ליח'' כולל ]]</f>
        <v>0</v>
      </c>
      <c r="AK29" s="666">
        <f>טבלה38[[#This Row],[ערב בישול 3]]*טבלה38[[#This Row],[מחיר ליח'' כולל ]]</f>
        <v>0</v>
      </c>
      <c r="AL29" s="666">
        <f>טבלה38[[#This Row],[ערב קטן 1]]*טבלה38[[#This Row],[מחיר ליח'' כולל ]]</f>
        <v>0</v>
      </c>
      <c r="AM29" s="666">
        <f>טבלה38[[#This Row],[ערב קטן 2]]*טבלה38[[#This Row],[מחיר ליח'' כולל ]]</f>
        <v>0</v>
      </c>
      <c r="AN29" s="666">
        <f>טבלה38[[#This Row],[ערב קטן 3]]*טבלה38[[#This Row],[מחיר ליח'' כולל ]]</f>
        <v>0</v>
      </c>
      <c r="AO29" s="666">
        <f>טבלה38[[#This Row],[קיטים מיוחדים]]*טבלה38[[#This Row],[מחיר ליח'' כולל ]]</f>
        <v>0</v>
      </c>
      <c r="AP29" s="666">
        <f>טבלה38[[#This Row],[תוספות]]*טבלה38[[#This Row],[מחיר ליח'' כולל ]]</f>
        <v>0</v>
      </c>
    </row>
    <row r="30" spans="2:42" ht="14.4">
      <c r="B30" s="651">
        <v>9502</v>
      </c>
      <c r="C30" s="650" t="s">
        <v>1124</v>
      </c>
      <c r="D30" s="650" t="s">
        <v>602</v>
      </c>
      <c r="E30" s="650"/>
      <c r="F30" s="649" t="str">
        <f>IF(טבלה38[[#This Row],[סה"כ]]&gt;0,טבלה38[[#This Row],[סה"כ]],"")</f>
        <v/>
      </c>
      <c r="G30" s="656">
        <v>0.17</v>
      </c>
      <c r="H30" s="655">
        <f>טבלה38[[#This Row],[מחיר]]+טבלה38[[#This Row],[% מע"מ]]*טבלה38[[#This Row],[מחיר]]</f>
        <v>0</v>
      </c>
      <c r="I30" s="630">
        <f>טבלה38[[#This Row],[סה"כ]]*טבלה38[[#This Row],[מחיר ליח'' כולל ]]</f>
        <v>0</v>
      </c>
      <c r="J30" s="655">
        <f>SUM(טבלה38[[#This Row],[פימת קפה]:[תוספות]])</f>
        <v>0</v>
      </c>
      <c r="K30" s="655">
        <f>SUMIF(טבלה11517[מקט],טבלה38[[#This Row],[קוד מוצר]],טבלה11517[כמות])</f>
        <v>0</v>
      </c>
      <c r="L30" s="655">
        <f>SUMIF(טבלה115179[מקט],טבלה38[[#This Row],[קוד מוצר]],טבלה115179[כמות])</f>
        <v>0</v>
      </c>
      <c r="M30" s="655">
        <f>SUMIF(טבלה115[מקט],טבלה38[[#This Row],[קוד מוצר]],טבלה115[כמות])</f>
        <v>0</v>
      </c>
      <c r="N30" s="655">
        <f>SUMIF(טבלה1[מק"ט],טבלה38[[#This Row],[קוד מוצר]],טבלה1[כמות])</f>
        <v>0</v>
      </c>
      <c r="O30" s="655">
        <f>SUMIF(טבלה8[מק"ט],טבלה38[[#This Row],[קוד מוצר]],טבלה8[הזמנה])</f>
        <v>0</v>
      </c>
      <c r="P30" s="655">
        <f>SUMIF(טבלה15[מק"ט],טבלה38[[#This Row],[קוד מוצר]],טבלה15[הזמנה])</f>
        <v>0</v>
      </c>
      <c r="Q30" s="655">
        <f>SUMIF(טבלה1151718[מקט],טבלה38[[#This Row],[קוד מוצר]],טבלה1151718[כמות])</f>
        <v>0</v>
      </c>
      <c r="R30" s="655">
        <f>SUMIF(טבלה125[מקט],טבלה38[[#This Row],[קוד מוצר]],טבלה125[כמות])</f>
        <v>0</v>
      </c>
      <c r="S30" s="655">
        <f>SUMIF(טבלה33[מק"ט],טבלה38[[#This Row],[קוד מוצר]],טבלה33[הזמנה])</f>
        <v>0</v>
      </c>
      <c r="T30" s="655">
        <f>SUMIF(טבלה34[עמודה1],טבלה38[[#This Row],[קוד מוצר]],טבלה34[הזמנה])</f>
        <v>0</v>
      </c>
      <c r="U30" s="655">
        <f>SUMIF(טבלה35[עמודה1],טבלה38[[#This Row],[קוד מוצר]],טבלה35[הזמנה])</f>
        <v>0</v>
      </c>
      <c r="V30" s="655">
        <f>SUMIF(טבלה3338[מק"ט],טבלה38[[#This Row],[קוד מוצר]],טבלה3338[הזמנה])</f>
        <v>0</v>
      </c>
      <c r="W30" s="655">
        <f>SUMIF(טבלה3540[עמודה1],טבלה38[[#This Row],[קוד מוצר]],טבלה3540[הזמנה])</f>
        <v>0</v>
      </c>
      <c r="X30" s="655">
        <f>SUMIF(טבלה3441[עמודה1],טבלה38[[#This Row],[קוד מוצר]],טבלה3441[הזמנה])</f>
        <v>0</v>
      </c>
      <c r="Y30" s="655">
        <f>SUMIF(טבלה24[מקט],טבלה38[[#This Row],[קוד מוצר]],טבלה24[כמות])</f>
        <v>0</v>
      </c>
      <c r="Z30" s="655">
        <f>SUMIF(טבלה628[קוד מוצר],טבלה38[[#This Row],[קוד מוצר]],טבלה628[תוספת])</f>
        <v>0</v>
      </c>
      <c r="AA30" s="610">
        <f>טבלה38[[#This Row],[פימת קפה]]*טבלה38[[#This Row],[מחיר ליח'' כולל ]]</f>
        <v>0</v>
      </c>
      <c r="AB30" s="610">
        <f>טבלה38[[#This Row],[פת שחרית]]*טבלה38[[#This Row],[מחיר ליח'' כולל ]]</f>
        <v>0</v>
      </c>
      <c r="AC30" s="610">
        <f>טבלה38[[#This Row],[א. בוקר פריסה]]*טבלה38[[#This Row],[מחיר ליח'' כולל ]]</f>
        <v>0</v>
      </c>
      <c r="AD30" s="666">
        <f>טבלה38[[#This Row],[א. צהררים פריסה ]]*טבלה38[[#This Row],[מחיר ליח'' כולל ]]</f>
        <v>0</v>
      </c>
      <c r="AE30" s="666">
        <f>טבלה38[[#This Row],[בוקר קיטים]]*טבלה38[[#This Row],[מחיר ליח'' כולל ]]</f>
        <v>0</v>
      </c>
      <c r="AF30" s="666">
        <f>טבלה38[[#This Row],[צהריים קיטים]]*טבלה38[[#This Row],[מחיר ליח'' כולל ]]</f>
        <v>0</v>
      </c>
      <c r="AG30" s="666">
        <f>טבלה38[[#This Row],[פריסת אמצע]]*טבלה38[[#This Row],[מחיר ליח'' כולל ]]</f>
        <v>0</v>
      </c>
      <c r="AH30" s="666">
        <f>טבלה38[[#This Row],[מרק]]*טבלה38[[#This Row],[מחיר ליח'' כולל ]]</f>
        <v>0</v>
      </c>
      <c r="AI30" s="666">
        <f>טבלה38[[#This Row],[ערב בישול 1]]*טבלה38[[#This Row],[מחיר ליח'' כולל ]]</f>
        <v>0</v>
      </c>
      <c r="AJ30" s="666">
        <f>טבלה38[[#This Row],[ערב בישול 2]]*טבלה38[[#This Row],[מחיר ליח'' כולל ]]</f>
        <v>0</v>
      </c>
      <c r="AK30" s="666">
        <f>טבלה38[[#This Row],[ערב בישול 3]]*טבלה38[[#This Row],[מחיר ליח'' כולל ]]</f>
        <v>0</v>
      </c>
      <c r="AL30" s="666">
        <f>טבלה38[[#This Row],[ערב קטן 1]]*טבלה38[[#This Row],[מחיר ליח'' כולל ]]</f>
        <v>0</v>
      </c>
      <c r="AM30" s="666">
        <f>טבלה38[[#This Row],[ערב קטן 2]]*טבלה38[[#This Row],[מחיר ליח'' כולל ]]</f>
        <v>0</v>
      </c>
      <c r="AN30" s="666">
        <f>טבלה38[[#This Row],[ערב קטן 3]]*טבלה38[[#This Row],[מחיר ליח'' כולל ]]</f>
        <v>0</v>
      </c>
      <c r="AO30" s="666">
        <f>טבלה38[[#This Row],[קיטים מיוחדים]]*טבלה38[[#This Row],[מחיר ליח'' כולל ]]</f>
        <v>0</v>
      </c>
      <c r="AP30" s="666">
        <f>טבלה38[[#This Row],[תוספות]]*טבלה38[[#This Row],[מחיר ליח'' כולל ]]</f>
        <v>0</v>
      </c>
    </row>
    <row r="31" spans="2:42" ht="14.4">
      <c r="B31" s="651">
        <v>11782</v>
      </c>
      <c r="C31" s="650" t="s">
        <v>1045</v>
      </c>
      <c r="D31" s="650" t="s">
        <v>8</v>
      </c>
      <c r="E31" s="650"/>
      <c r="F31" s="649" t="str">
        <f>IF(טבלה38[[#This Row],[סה"כ]]&gt;0,טבלה38[[#This Row],[סה"כ]],"")</f>
        <v/>
      </c>
      <c r="G31" s="656">
        <v>0.17</v>
      </c>
      <c r="H31" s="655">
        <f>טבלה38[[#This Row],[מחיר]]+טבלה38[[#This Row],[% מע"מ]]*טבלה38[[#This Row],[מחיר]]</f>
        <v>0</v>
      </c>
      <c r="I31" s="630">
        <f>טבלה38[[#This Row],[סה"כ]]*טבלה38[[#This Row],[מחיר ליח'' כולל ]]</f>
        <v>0</v>
      </c>
      <c r="J31" s="655">
        <f>SUM(טבלה38[[#This Row],[פימת קפה]:[תוספות]])</f>
        <v>0</v>
      </c>
      <c r="K31" s="655">
        <f>SUMIF(טבלה11517[מקט],טבלה38[[#This Row],[קוד מוצר]],טבלה11517[כמות])</f>
        <v>0</v>
      </c>
      <c r="L31" s="655">
        <f>SUMIF(טבלה115179[מקט],טבלה38[[#This Row],[קוד מוצר]],טבלה115179[כמות])</f>
        <v>0</v>
      </c>
      <c r="M31" s="655">
        <f>SUMIF(טבלה115[מקט],טבלה38[[#This Row],[קוד מוצר]],טבלה115[כמות])</f>
        <v>0</v>
      </c>
      <c r="N31" s="655">
        <f>SUMIF(טבלה1[מק"ט],טבלה38[[#This Row],[קוד מוצר]],טבלה1[כמות])</f>
        <v>0</v>
      </c>
      <c r="O31" s="655">
        <f>SUMIF(טבלה8[מק"ט],טבלה38[[#This Row],[קוד מוצר]],טבלה8[הזמנה])</f>
        <v>0</v>
      </c>
      <c r="P31" s="655">
        <f>SUMIF(טבלה15[מק"ט],טבלה38[[#This Row],[קוד מוצר]],טבלה15[הזמנה])</f>
        <v>0</v>
      </c>
      <c r="Q31" s="655">
        <f>SUMIF(טבלה1151718[מקט],טבלה38[[#This Row],[קוד מוצר]],טבלה1151718[כמות])</f>
        <v>0</v>
      </c>
      <c r="R31" s="655">
        <f>SUMIF(טבלה125[מקט],טבלה38[[#This Row],[קוד מוצר]],טבלה125[כמות])</f>
        <v>0</v>
      </c>
      <c r="S31" s="655">
        <f>SUMIF(טבלה33[מק"ט],טבלה38[[#This Row],[קוד מוצר]],טבלה33[הזמנה])</f>
        <v>0</v>
      </c>
      <c r="T31" s="655">
        <f>SUMIF(טבלה34[עמודה1],טבלה38[[#This Row],[קוד מוצר]],טבלה34[הזמנה])</f>
        <v>0</v>
      </c>
      <c r="U31" s="655">
        <f>SUMIF(טבלה35[עמודה1],טבלה38[[#This Row],[קוד מוצר]],טבלה35[הזמנה])</f>
        <v>0</v>
      </c>
      <c r="V31" s="655">
        <f>SUMIF(טבלה3338[מק"ט],טבלה38[[#This Row],[קוד מוצר]],טבלה3338[הזמנה])</f>
        <v>0</v>
      </c>
      <c r="W31" s="655">
        <f>SUMIF(טבלה3540[עמודה1],טבלה38[[#This Row],[קוד מוצר]],טבלה3540[הזמנה])</f>
        <v>0</v>
      </c>
      <c r="X31" s="655">
        <f>SUMIF(טבלה3441[עמודה1],טבלה38[[#This Row],[קוד מוצר]],טבלה3441[הזמנה])</f>
        <v>0</v>
      </c>
      <c r="Y31" s="655">
        <f>SUMIF(טבלה24[מקט],טבלה38[[#This Row],[קוד מוצר]],טבלה24[כמות])</f>
        <v>0</v>
      </c>
      <c r="Z31" s="655">
        <f>SUMIF(טבלה628[קוד מוצר],טבלה38[[#This Row],[קוד מוצר]],טבלה628[תוספת])</f>
        <v>0</v>
      </c>
      <c r="AA31" s="610">
        <f>טבלה38[[#This Row],[פימת קפה]]*טבלה38[[#This Row],[מחיר ליח'' כולל ]]</f>
        <v>0</v>
      </c>
      <c r="AB31" s="610">
        <f>טבלה38[[#This Row],[פת שחרית]]*טבלה38[[#This Row],[מחיר ליח'' כולל ]]</f>
        <v>0</v>
      </c>
      <c r="AC31" s="610">
        <f>טבלה38[[#This Row],[א. בוקר פריסה]]*טבלה38[[#This Row],[מחיר ליח'' כולל ]]</f>
        <v>0</v>
      </c>
      <c r="AD31" s="666">
        <f>טבלה38[[#This Row],[א. צהררים פריסה ]]*טבלה38[[#This Row],[מחיר ליח'' כולל ]]</f>
        <v>0</v>
      </c>
      <c r="AE31" s="666">
        <f>טבלה38[[#This Row],[בוקר קיטים]]*טבלה38[[#This Row],[מחיר ליח'' כולל ]]</f>
        <v>0</v>
      </c>
      <c r="AF31" s="666">
        <f>טבלה38[[#This Row],[צהריים קיטים]]*טבלה38[[#This Row],[מחיר ליח'' כולל ]]</f>
        <v>0</v>
      </c>
      <c r="AG31" s="666">
        <f>טבלה38[[#This Row],[פריסת אמצע]]*טבלה38[[#This Row],[מחיר ליח'' כולל ]]</f>
        <v>0</v>
      </c>
      <c r="AH31" s="666">
        <f>טבלה38[[#This Row],[מרק]]*טבלה38[[#This Row],[מחיר ליח'' כולל ]]</f>
        <v>0</v>
      </c>
      <c r="AI31" s="666">
        <f>טבלה38[[#This Row],[ערב בישול 1]]*טבלה38[[#This Row],[מחיר ליח'' כולל ]]</f>
        <v>0</v>
      </c>
      <c r="AJ31" s="666">
        <f>טבלה38[[#This Row],[ערב בישול 2]]*טבלה38[[#This Row],[מחיר ליח'' כולל ]]</f>
        <v>0</v>
      </c>
      <c r="AK31" s="666">
        <f>טבלה38[[#This Row],[ערב בישול 3]]*טבלה38[[#This Row],[מחיר ליח'' כולל ]]</f>
        <v>0</v>
      </c>
      <c r="AL31" s="666">
        <f>טבלה38[[#This Row],[ערב קטן 1]]*טבלה38[[#This Row],[מחיר ליח'' כולל ]]</f>
        <v>0</v>
      </c>
      <c r="AM31" s="666">
        <f>טבלה38[[#This Row],[ערב קטן 2]]*טבלה38[[#This Row],[מחיר ליח'' כולל ]]</f>
        <v>0</v>
      </c>
      <c r="AN31" s="666">
        <f>טבלה38[[#This Row],[ערב קטן 3]]*טבלה38[[#This Row],[מחיר ליח'' כולל ]]</f>
        <v>0</v>
      </c>
      <c r="AO31" s="666">
        <f>טבלה38[[#This Row],[קיטים מיוחדים]]*טבלה38[[#This Row],[מחיר ליח'' כולל ]]</f>
        <v>0</v>
      </c>
      <c r="AP31" s="666">
        <f>טבלה38[[#This Row],[תוספות]]*טבלה38[[#This Row],[מחיר ליח'' כולל ]]</f>
        <v>0</v>
      </c>
    </row>
    <row r="32" spans="2:42" ht="14.4">
      <c r="B32" s="651">
        <v>157</v>
      </c>
      <c r="C32" s="650" t="s">
        <v>369</v>
      </c>
      <c r="D32" s="650" t="s">
        <v>8</v>
      </c>
      <c r="E32" s="650"/>
      <c r="F32" s="649" t="str">
        <f>IF(טבלה38[[#This Row],[סה"כ]]&gt;0,טבלה38[[#This Row],[סה"כ]],"")</f>
        <v/>
      </c>
      <c r="G32" s="656">
        <v>0</v>
      </c>
      <c r="H32" s="655">
        <f>טבלה38[[#This Row],[מחיר]]+טבלה38[[#This Row],[% מע"מ]]*טבלה38[[#This Row],[מחיר]]</f>
        <v>0</v>
      </c>
      <c r="I32" s="630">
        <f>טבלה38[[#This Row],[סה"כ]]*טבלה38[[#This Row],[מחיר ליח'' כולל ]]</f>
        <v>0</v>
      </c>
      <c r="J32" s="655">
        <f>SUM(טבלה38[[#This Row],[פימת קפה]:[תוספות]])</f>
        <v>0</v>
      </c>
      <c r="K32" s="655">
        <f>SUMIF(טבלה11517[מקט],טבלה38[[#This Row],[קוד מוצר]],טבלה11517[כמות])</f>
        <v>0</v>
      </c>
      <c r="L32" s="655">
        <f>SUMIF(טבלה115179[מקט],טבלה38[[#This Row],[קוד מוצר]],טבלה115179[כמות])</f>
        <v>0</v>
      </c>
      <c r="M32" s="655">
        <f>SUMIF(טבלה115[מקט],טבלה38[[#This Row],[קוד מוצר]],טבלה115[כמות])</f>
        <v>0</v>
      </c>
      <c r="N32" s="655">
        <f>SUMIF(טבלה1[מק"ט],טבלה38[[#This Row],[קוד מוצר]],טבלה1[כמות])</f>
        <v>0</v>
      </c>
      <c r="O32" s="655">
        <f>SUMIF(טבלה8[מק"ט],טבלה38[[#This Row],[קוד מוצר]],טבלה8[הזמנה])</f>
        <v>0</v>
      </c>
      <c r="P32" s="655">
        <f>SUMIF(טבלה15[מק"ט],טבלה38[[#This Row],[קוד מוצר]],טבלה15[הזמנה])</f>
        <v>0</v>
      </c>
      <c r="Q32" s="655">
        <f>SUMIF(טבלה1151718[מקט],טבלה38[[#This Row],[קוד מוצר]],טבלה1151718[כמות])</f>
        <v>0</v>
      </c>
      <c r="R32" s="655">
        <f>SUMIF(טבלה125[מקט],טבלה38[[#This Row],[קוד מוצר]],טבלה125[כמות])</f>
        <v>0</v>
      </c>
      <c r="S32" s="655">
        <f>SUMIF(טבלה33[מק"ט],טבלה38[[#This Row],[קוד מוצר]],טבלה33[הזמנה])</f>
        <v>0</v>
      </c>
      <c r="T32" s="655">
        <f>SUMIF(טבלה34[עמודה1],טבלה38[[#This Row],[קוד מוצר]],טבלה34[הזמנה])</f>
        <v>0</v>
      </c>
      <c r="U32" s="655">
        <f>SUMIF(טבלה35[עמודה1],טבלה38[[#This Row],[קוד מוצר]],טבלה35[הזמנה])</f>
        <v>0</v>
      </c>
      <c r="V32" s="655">
        <f>SUMIF(טבלה3338[מק"ט],טבלה38[[#This Row],[קוד מוצר]],טבלה3338[הזמנה])</f>
        <v>0</v>
      </c>
      <c r="W32" s="655">
        <f>SUMIF(טבלה3540[עמודה1],טבלה38[[#This Row],[קוד מוצר]],טבלה3540[הזמנה])</f>
        <v>0</v>
      </c>
      <c r="X32" s="655">
        <f>SUMIF(טבלה3441[עמודה1],טבלה38[[#This Row],[קוד מוצר]],טבלה3441[הזמנה])</f>
        <v>0</v>
      </c>
      <c r="Y32" s="655">
        <f>SUMIF(טבלה24[מקט],טבלה38[[#This Row],[קוד מוצר]],טבלה24[כמות])</f>
        <v>0</v>
      </c>
      <c r="Z32" s="655">
        <f>SUMIF(טבלה628[קוד מוצר],טבלה38[[#This Row],[קוד מוצר]],טבלה628[תוספת])</f>
        <v>0</v>
      </c>
      <c r="AA32" s="610">
        <f>טבלה38[[#This Row],[פימת קפה]]*טבלה38[[#This Row],[מחיר ליח'' כולל ]]</f>
        <v>0</v>
      </c>
      <c r="AB32" s="610">
        <f>טבלה38[[#This Row],[פת שחרית]]*טבלה38[[#This Row],[מחיר ליח'' כולל ]]</f>
        <v>0</v>
      </c>
      <c r="AC32" s="610">
        <f>טבלה38[[#This Row],[א. בוקר פריסה]]*טבלה38[[#This Row],[מחיר ליח'' כולל ]]</f>
        <v>0</v>
      </c>
      <c r="AD32" s="666">
        <f>טבלה38[[#This Row],[א. צהררים פריסה ]]*טבלה38[[#This Row],[מחיר ליח'' כולל ]]</f>
        <v>0</v>
      </c>
      <c r="AE32" s="666">
        <f>טבלה38[[#This Row],[בוקר קיטים]]*טבלה38[[#This Row],[מחיר ליח'' כולל ]]</f>
        <v>0</v>
      </c>
      <c r="AF32" s="666">
        <f>טבלה38[[#This Row],[צהריים קיטים]]*טבלה38[[#This Row],[מחיר ליח'' כולל ]]</f>
        <v>0</v>
      </c>
      <c r="AG32" s="666">
        <f>טבלה38[[#This Row],[פריסת אמצע]]*טבלה38[[#This Row],[מחיר ליח'' כולל ]]</f>
        <v>0</v>
      </c>
      <c r="AH32" s="666">
        <f>טבלה38[[#This Row],[מרק]]*טבלה38[[#This Row],[מחיר ליח'' כולל ]]</f>
        <v>0</v>
      </c>
      <c r="AI32" s="666">
        <f>טבלה38[[#This Row],[ערב בישול 1]]*טבלה38[[#This Row],[מחיר ליח'' כולל ]]</f>
        <v>0</v>
      </c>
      <c r="AJ32" s="666">
        <f>טבלה38[[#This Row],[ערב בישול 2]]*טבלה38[[#This Row],[מחיר ליח'' כולל ]]</f>
        <v>0</v>
      </c>
      <c r="AK32" s="666">
        <f>טבלה38[[#This Row],[ערב בישול 3]]*טבלה38[[#This Row],[מחיר ליח'' כולל ]]</f>
        <v>0</v>
      </c>
      <c r="AL32" s="666">
        <f>טבלה38[[#This Row],[ערב קטן 1]]*טבלה38[[#This Row],[מחיר ליח'' כולל ]]</f>
        <v>0</v>
      </c>
      <c r="AM32" s="666">
        <f>טבלה38[[#This Row],[ערב קטן 2]]*טבלה38[[#This Row],[מחיר ליח'' כולל ]]</f>
        <v>0</v>
      </c>
      <c r="AN32" s="666">
        <f>טבלה38[[#This Row],[ערב קטן 3]]*טבלה38[[#This Row],[מחיר ליח'' כולל ]]</f>
        <v>0</v>
      </c>
      <c r="AO32" s="666">
        <f>טבלה38[[#This Row],[קיטים מיוחדים]]*טבלה38[[#This Row],[מחיר ליח'' כולל ]]</f>
        <v>0</v>
      </c>
      <c r="AP32" s="666">
        <f>טבלה38[[#This Row],[תוספות]]*טבלה38[[#This Row],[מחיר ליח'' כולל ]]</f>
        <v>0</v>
      </c>
    </row>
    <row r="33" spans="2:42" ht="14.4">
      <c r="B33" s="651">
        <v>6975</v>
      </c>
      <c r="C33" s="650" t="s">
        <v>1131</v>
      </c>
      <c r="D33" s="650" t="s">
        <v>602</v>
      </c>
      <c r="E33" s="650"/>
      <c r="F33" s="649" t="str">
        <f>IF(טבלה38[[#This Row],[סה"כ]]&gt;0,טבלה38[[#This Row],[סה"כ]],"")</f>
        <v/>
      </c>
      <c r="G33" s="656">
        <v>0.17</v>
      </c>
      <c r="H33" s="655">
        <f>טבלה38[[#This Row],[מחיר]]+טבלה38[[#This Row],[% מע"מ]]*טבלה38[[#This Row],[מחיר]]</f>
        <v>0</v>
      </c>
      <c r="I33" s="630">
        <f>טבלה38[[#This Row],[סה"כ]]*טבלה38[[#This Row],[מחיר ליח'' כולל ]]</f>
        <v>0</v>
      </c>
      <c r="J33" s="655">
        <f>SUM(טבלה38[[#This Row],[פימת קפה]:[תוספות]])</f>
        <v>0</v>
      </c>
      <c r="K33" s="655">
        <f>SUMIF(טבלה11517[מקט],טבלה38[[#This Row],[קוד מוצר]],טבלה11517[כמות])</f>
        <v>0</v>
      </c>
      <c r="L33" s="655">
        <f>SUMIF(טבלה115179[מקט],טבלה38[[#This Row],[קוד מוצר]],טבלה115179[כמות])</f>
        <v>0</v>
      </c>
      <c r="M33" s="655">
        <f>SUMIF(טבלה115[מקט],טבלה38[[#This Row],[קוד מוצר]],טבלה115[כמות])</f>
        <v>0</v>
      </c>
      <c r="N33" s="655">
        <f>SUMIF(טבלה1[מק"ט],טבלה38[[#This Row],[קוד מוצר]],טבלה1[כמות])</f>
        <v>0</v>
      </c>
      <c r="O33" s="655">
        <f>SUMIF(טבלה8[מק"ט],טבלה38[[#This Row],[קוד מוצר]],טבלה8[הזמנה])</f>
        <v>0</v>
      </c>
      <c r="P33" s="655">
        <f>SUMIF(טבלה15[מק"ט],טבלה38[[#This Row],[קוד מוצר]],טבלה15[הזמנה])</f>
        <v>0</v>
      </c>
      <c r="Q33" s="655">
        <f>SUMIF(טבלה1151718[מקט],טבלה38[[#This Row],[קוד מוצר]],טבלה1151718[כמות])</f>
        <v>0</v>
      </c>
      <c r="R33" s="655">
        <f>SUMIF(טבלה125[מקט],טבלה38[[#This Row],[קוד מוצר]],טבלה125[כמות])</f>
        <v>0</v>
      </c>
      <c r="S33" s="655">
        <f>SUMIF(טבלה33[מק"ט],טבלה38[[#This Row],[קוד מוצר]],טבלה33[הזמנה])</f>
        <v>0</v>
      </c>
      <c r="T33" s="655">
        <f>SUMIF(טבלה34[עמודה1],טבלה38[[#This Row],[קוד מוצר]],טבלה34[הזמנה])</f>
        <v>0</v>
      </c>
      <c r="U33" s="655">
        <f>SUMIF(טבלה35[עמודה1],טבלה38[[#This Row],[קוד מוצר]],טבלה35[הזמנה])</f>
        <v>0</v>
      </c>
      <c r="V33" s="655">
        <f>SUMIF(טבלה3338[מק"ט],טבלה38[[#This Row],[קוד מוצר]],טבלה3338[הזמנה])</f>
        <v>0</v>
      </c>
      <c r="W33" s="655">
        <f>SUMIF(טבלה3540[עמודה1],טבלה38[[#This Row],[קוד מוצר]],טבלה3540[הזמנה])</f>
        <v>0</v>
      </c>
      <c r="X33" s="655">
        <f>SUMIF(טבלה3441[עמודה1],טבלה38[[#This Row],[קוד מוצר]],טבלה3441[הזמנה])</f>
        <v>0</v>
      </c>
      <c r="Y33" s="655">
        <f>SUMIF(טבלה24[מקט],טבלה38[[#This Row],[קוד מוצר]],טבלה24[כמות])</f>
        <v>0</v>
      </c>
      <c r="Z33" s="655">
        <f>SUMIF(טבלה628[קוד מוצר],טבלה38[[#This Row],[קוד מוצר]],טבלה628[תוספת])</f>
        <v>0</v>
      </c>
      <c r="AA33" s="610">
        <f>טבלה38[[#This Row],[פימת קפה]]*טבלה38[[#This Row],[מחיר ליח'' כולל ]]</f>
        <v>0</v>
      </c>
      <c r="AB33" s="610">
        <f>טבלה38[[#This Row],[פת שחרית]]*טבלה38[[#This Row],[מחיר ליח'' כולל ]]</f>
        <v>0</v>
      </c>
      <c r="AC33" s="610">
        <f>טבלה38[[#This Row],[א. בוקר פריסה]]*טבלה38[[#This Row],[מחיר ליח'' כולל ]]</f>
        <v>0</v>
      </c>
      <c r="AD33" s="666">
        <f>טבלה38[[#This Row],[א. צהררים פריסה ]]*טבלה38[[#This Row],[מחיר ליח'' כולל ]]</f>
        <v>0</v>
      </c>
      <c r="AE33" s="666">
        <f>טבלה38[[#This Row],[בוקר קיטים]]*טבלה38[[#This Row],[מחיר ליח'' כולל ]]</f>
        <v>0</v>
      </c>
      <c r="AF33" s="666">
        <f>טבלה38[[#This Row],[צהריים קיטים]]*טבלה38[[#This Row],[מחיר ליח'' כולל ]]</f>
        <v>0</v>
      </c>
      <c r="AG33" s="666">
        <f>טבלה38[[#This Row],[פריסת אמצע]]*טבלה38[[#This Row],[מחיר ליח'' כולל ]]</f>
        <v>0</v>
      </c>
      <c r="AH33" s="666">
        <f>טבלה38[[#This Row],[מרק]]*טבלה38[[#This Row],[מחיר ליח'' כולל ]]</f>
        <v>0</v>
      </c>
      <c r="AI33" s="666">
        <f>טבלה38[[#This Row],[ערב בישול 1]]*טבלה38[[#This Row],[מחיר ליח'' כולל ]]</f>
        <v>0</v>
      </c>
      <c r="AJ33" s="666">
        <f>טבלה38[[#This Row],[ערב בישול 2]]*טבלה38[[#This Row],[מחיר ליח'' כולל ]]</f>
        <v>0</v>
      </c>
      <c r="AK33" s="666">
        <f>טבלה38[[#This Row],[ערב בישול 3]]*טבלה38[[#This Row],[מחיר ליח'' כולל ]]</f>
        <v>0</v>
      </c>
      <c r="AL33" s="666">
        <f>טבלה38[[#This Row],[ערב קטן 1]]*טבלה38[[#This Row],[מחיר ליח'' כולל ]]</f>
        <v>0</v>
      </c>
      <c r="AM33" s="666">
        <f>טבלה38[[#This Row],[ערב קטן 2]]*טבלה38[[#This Row],[מחיר ליח'' כולל ]]</f>
        <v>0</v>
      </c>
      <c r="AN33" s="666">
        <f>טבלה38[[#This Row],[ערב קטן 3]]*טבלה38[[#This Row],[מחיר ליח'' כולל ]]</f>
        <v>0</v>
      </c>
      <c r="AO33" s="666">
        <f>טבלה38[[#This Row],[קיטים מיוחדים]]*טבלה38[[#This Row],[מחיר ליח'' כולל ]]</f>
        <v>0</v>
      </c>
      <c r="AP33" s="666">
        <f>טבלה38[[#This Row],[תוספות]]*טבלה38[[#This Row],[מחיר ליח'' כולל ]]</f>
        <v>0</v>
      </c>
    </row>
    <row r="34" spans="2:42" ht="14.4">
      <c r="B34" s="651">
        <v>3</v>
      </c>
      <c r="C34" s="650" t="s">
        <v>2</v>
      </c>
      <c r="D34" s="650" t="s">
        <v>8</v>
      </c>
      <c r="E34" s="650"/>
      <c r="F34" s="649" t="str">
        <f>IF(טבלה38[[#This Row],[סה"כ]]&gt;0,טבלה38[[#This Row],[סה"כ]],"")</f>
        <v/>
      </c>
      <c r="G34" s="656">
        <v>0</v>
      </c>
      <c r="H34" s="630">
        <f>טבלה38[[#This Row],[מחיר]]+טבלה38[[#This Row],[% מע"מ]]*טבלה38[[#This Row],[מחיר]]</f>
        <v>0</v>
      </c>
      <c r="I34" s="630">
        <f>טבלה38[[#This Row],[סה"כ]]*טבלה38[[#This Row],[מחיר ליח'' כולל ]]</f>
        <v>0</v>
      </c>
      <c r="J34" s="655">
        <f>SUM(טבלה38[[#This Row],[פימת קפה]:[תוספות]])</f>
        <v>0</v>
      </c>
      <c r="K34" s="655">
        <f>SUMIF(טבלה11517[מקט],טבלה38[[#This Row],[קוד מוצר]],טבלה11517[כמות])</f>
        <v>0</v>
      </c>
      <c r="L34" s="655">
        <f>SUMIF(טבלה115179[מקט],טבלה38[[#This Row],[קוד מוצר]],טבלה115179[כמות])</f>
        <v>0</v>
      </c>
      <c r="M34" s="655">
        <f>SUMIF(טבלה115[מקט],טבלה38[[#This Row],[קוד מוצר]],טבלה115[כמות])</f>
        <v>0</v>
      </c>
      <c r="N34" s="655">
        <f>SUMIF(טבלה1[מק"ט],טבלה38[[#This Row],[קוד מוצר]],טבלה1[כמות])</f>
        <v>0</v>
      </c>
      <c r="O34" s="655">
        <f>SUMIF(טבלה8[מק"ט],טבלה38[[#This Row],[קוד מוצר]],טבלה8[הזמנה])</f>
        <v>0</v>
      </c>
      <c r="P34" s="655">
        <f>SUMIF(טבלה15[מק"ט],טבלה38[[#This Row],[קוד מוצר]],טבלה15[הזמנה])</f>
        <v>0</v>
      </c>
      <c r="Q34" s="655">
        <f>SUMIF(טבלה1151718[מקט],טבלה38[[#This Row],[קוד מוצר]],טבלה1151718[כמות])</f>
        <v>0</v>
      </c>
      <c r="R34" s="655">
        <f>SUMIF(טבלה125[מקט],טבלה38[[#This Row],[קוד מוצר]],טבלה125[כמות])</f>
        <v>0</v>
      </c>
      <c r="S34" s="655">
        <f>SUMIF(טבלה33[מק"ט],טבלה38[[#This Row],[קוד מוצר]],טבלה33[הזמנה])</f>
        <v>0</v>
      </c>
      <c r="T34" s="655">
        <f>SUMIF(טבלה34[עמודה1],טבלה38[[#This Row],[קוד מוצר]],טבלה34[הזמנה])</f>
        <v>0</v>
      </c>
      <c r="U34" s="655">
        <f>SUMIF(טבלה35[עמודה1],טבלה38[[#This Row],[קוד מוצר]],טבלה35[הזמנה])</f>
        <v>0</v>
      </c>
      <c r="V34" s="655">
        <f>SUMIF(טבלה3338[מק"ט],טבלה38[[#This Row],[קוד מוצר]],טבלה3338[הזמנה])</f>
        <v>0</v>
      </c>
      <c r="W34" s="655">
        <f>SUMIF(טבלה3540[עמודה1],טבלה38[[#This Row],[קוד מוצר]],טבלה3540[הזמנה])</f>
        <v>0</v>
      </c>
      <c r="X34" s="655">
        <f>SUMIF(טבלה3441[עמודה1],טבלה38[[#This Row],[קוד מוצר]],טבלה3441[הזמנה])</f>
        <v>0</v>
      </c>
      <c r="Y34" s="655">
        <f>SUMIF(טבלה24[מקט],טבלה38[[#This Row],[קוד מוצר]],טבלה24[כמות])</f>
        <v>0</v>
      </c>
      <c r="Z34" s="655">
        <f>SUMIF(טבלה628[קוד מוצר],טבלה38[[#This Row],[קוד מוצר]],טבלה628[תוספת])</f>
        <v>0</v>
      </c>
      <c r="AA34" s="610">
        <f>טבלה38[[#This Row],[פימת קפה]]*טבלה38[[#This Row],[מחיר ליח'' כולל ]]</f>
        <v>0</v>
      </c>
      <c r="AB34" s="610">
        <f>טבלה38[[#This Row],[פת שחרית]]*טבלה38[[#This Row],[מחיר ליח'' כולל ]]</f>
        <v>0</v>
      </c>
      <c r="AC34" s="610">
        <f>טבלה38[[#This Row],[א. בוקר פריסה]]*טבלה38[[#This Row],[מחיר ליח'' כולל ]]</f>
        <v>0</v>
      </c>
      <c r="AD34" s="610">
        <f>טבלה38[[#This Row],[א. צהררים פריסה ]]*טבלה38[[#This Row],[מחיר ליח'' כולל ]]</f>
        <v>0</v>
      </c>
      <c r="AE34" s="610">
        <f>טבלה38[[#This Row],[בוקר קיטים]]*טבלה38[[#This Row],[מחיר ליח'' כולל ]]</f>
        <v>0</v>
      </c>
      <c r="AF34" s="610">
        <f>טבלה38[[#This Row],[צהריים קיטים]]*טבלה38[[#This Row],[מחיר ליח'' כולל ]]</f>
        <v>0</v>
      </c>
      <c r="AG34" s="610">
        <f>טבלה38[[#This Row],[פריסת אמצע]]*טבלה38[[#This Row],[מחיר ליח'' כולל ]]</f>
        <v>0</v>
      </c>
      <c r="AH34" s="610">
        <f>טבלה38[[#This Row],[מרק]]*טבלה38[[#This Row],[מחיר ליח'' כולל ]]</f>
        <v>0</v>
      </c>
      <c r="AI34" s="610">
        <f>טבלה38[[#This Row],[ערב בישול 1]]*טבלה38[[#This Row],[מחיר ליח'' כולל ]]</f>
        <v>0</v>
      </c>
      <c r="AJ34" s="610">
        <f>טבלה38[[#This Row],[ערב בישול 2]]*טבלה38[[#This Row],[מחיר ליח'' כולל ]]</f>
        <v>0</v>
      </c>
      <c r="AK34" s="610">
        <f>טבלה38[[#This Row],[ערב בישול 3]]*טבלה38[[#This Row],[מחיר ליח'' כולל ]]</f>
        <v>0</v>
      </c>
      <c r="AL34" s="610">
        <f>טבלה38[[#This Row],[ערב קטן 1]]*טבלה38[[#This Row],[מחיר ליח'' כולל ]]</f>
        <v>0</v>
      </c>
      <c r="AM34" s="610">
        <f>טבלה38[[#This Row],[ערב קטן 2]]*טבלה38[[#This Row],[מחיר ליח'' כולל ]]</f>
        <v>0</v>
      </c>
      <c r="AN34" s="610">
        <f>טבלה38[[#This Row],[ערב קטן 3]]*טבלה38[[#This Row],[מחיר ליח'' כולל ]]</f>
        <v>0</v>
      </c>
      <c r="AO34" s="610">
        <f>טבלה38[[#This Row],[קיטים מיוחדים]]*טבלה38[[#This Row],[מחיר ליח'' כולל ]]</f>
        <v>0</v>
      </c>
      <c r="AP34" s="610">
        <f>טבלה38[[#This Row],[תוספות]]*טבלה38[[#This Row],[מחיר ליח'' כולל ]]</f>
        <v>0</v>
      </c>
    </row>
    <row r="35" spans="2:42" ht="14.4">
      <c r="B35" s="651">
        <v>607</v>
      </c>
      <c r="C35" s="650" t="s">
        <v>3</v>
      </c>
      <c r="D35" s="650" t="s">
        <v>8</v>
      </c>
      <c r="E35" s="650"/>
      <c r="F35" s="649" t="str">
        <f>IF(טבלה38[[#This Row],[סה"כ]]&gt;0,טבלה38[[#This Row],[סה"כ]],"")</f>
        <v/>
      </c>
      <c r="G35" s="656">
        <v>0</v>
      </c>
      <c r="H35" s="655">
        <f>טבלה38[[#This Row],[מחיר]]+טבלה38[[#This Row],[% מע"מ]]*טבלה38[[#This Row],[מחיר]]</f>
        <v>0</v>
      </c>
      <c r="I35" s="630">
        <f>טבלה38[[#This Row],[סה"כ]]*טבלה38[[#This Row],[מחיר ליח'' כולל ]]</f>
        <v>0</v>
      </c>
      <c r="J35" s="655">
        <f>SUM(טבלה38[[#This Row],[פימת קפה]:[תוספות]])</f>
        <v>0</v>
      </c>
      <c r="K35" s="655">
        <f>SUMIF(טבלה11517[מקט],טבלה38[[#This Row],[קוד מוצר]],טבלה11517[כמות])</f>
        <v>0</v>
      </c>
      <c r="L35" s="655">
        <f>SUMIF(טבלה115179[מקט],טבלה38[[#This Row],[קוד מוצר]],טבלה115179[כמות])</f>
        <v>0</v>
      </c>
      <c r="M35" s="655">
        <f>SUMIF(טבלה115[מקט],טבלה38[[#This Row],[קוד מוצר]],טבלה115[כמות])</f>
        <v>0</v>
      </c>
      <c r="N35" s="655">
        <f>SUMIF(טבלה1[מק"ט],טבלה38[[#This Row],[קוד מוצר]],טבלה1[כמות])</f>
        <v>0</v>
      </c>
      <c r="O35" s="655">
        <f>SUMIF(טבלה8[מק"ט],טבלה38[[#This Row],[קוד מוצר]],טבלה8[הזמנה])</f>
        <v>0</v>
      </c>
      <c r="P35" s="655">
        <f>SUMIF(טבלה15[מק"ט],טבלה38[[#This Row],[קוד מוצר]],טבלה15[הזמנה])</f>
        <v>0</v>
      </c>
      <c r="Q35" s="655">
        <f>SUMIF(טבלה1151718[מקט],טבלה38[[#This Row],[קוד מוצר]],טבלה1151718[כמות])</f>
        <v>0</v>
      </c>
      <c r="R35" s="655">
        <f>SUMIF(טבלה125[מקט],טבלה38[[#This Row],[קוד מוצר]],טבלה125[כמות])</f>
        <v>0</v>
      </c>
      <c r="S35" s="655">
        <f>SUMIF(טבלה33[מק"ט],טבלה38[[#This Row],[קוד מוצר]],טבלה33[הזמנה])</f>
        <v>0</v>
      </c>
      <c r="T35" s="655">
        <f>SUMIF(טבלה34[עמודה1],טבלה38[[#This Row],[קוד מוצר]],טבלה34[הזמנה])</f>
        <v>0</v>
      </c>
      <c r="U35" s="655">
        <f>SUMIF(טבלה35[עמודה1],טבלה38[[#This Row],[קוד מוצר]],טבלה35[הזמנה])</f>
        <v>0</v>
      </c>
      <c r="V35" s="655">
        <f>SUMIF(טבלה3338[מק"ט],טבלה38[[#This Row],[קוד מוצר]],טבלה3338[הזמנה])</f>
        <v>0</v>
      </c>
      <c r="W35" s="655">
        <f>SUMIF(טבלה3540[עמודה1],טבלה38[[#This Row],[קוד מוצר]],טבלה3540[הזמנה])</f>
        <v>0</v>
      </c>
      <c r="X35" s="655">
        <f>SUMIF(טבלה3441[עמודה1],טבלה38[[#This Row],[קוד מוצר]],טבלה3441[הזמנה])</f>
        <v>0</v>
      </c>
      <c r="Y35" s="655">
        <f>SUMIF(טבלה24[מקט],טבלה38[[#This Row],[קוד מוצר]],טבלה24[כמות])</f>
        <v>0</v>
      </c>
      <c r="Z35" s="655">
        <f>SUMIF(טבלה628[קוד מוצר],טבלה38[[#This Row],[קוד מוצר]],טבלה628[תוספת])</f>
        <v>0</v>
      </c>
      <c r="AA35" s="610">
        <f>טבלה38[[#This Row],[פימת קפה]]*טבלה38[[#This Row],[מחיר ליח'' כולל ]]</f>
        <v>0</v>
      </c>
      <c r="AB35" s="610">
        <f>טבלה38[[#This Row],[פת שחרית]]*טבלה38[[#This Row],[מחיר ליח'' כולל ]]</f>
        <v>0</v>
      </c>
      <c r="AC35" s="610">
        <f>טבלה38[[#This Row],[א. בוקר פריסה]]*טבלה38[[#This Row],[מחיר ליח'' כולל ]]</f>
        <v>0</v>
      </c>
      <c r="AD35" s="666">
        <f>טבלה38[[#This Row],[א. צהררים פריסה ]]*טבלה38[[#This Row],[מחיר ליח'' כולל ]]</f>
        <v>0</v>
      </c>
      <c r="AE35" s="666">
        <f>טבלה38[[#This Row],[בוקר קיטים]]*טבלה38[[#This Row],[מחיר ליח'' כולל ]]</f>
        <v>0</v>
      </c>
      <c r="AF35" s="666">
        <f>טבלה38[[#This Row],[צהריים קיטים]]*טבלה38[[#This Row],[מחיר ליח'' כולל ]]</f>
        <v>0</v>
      </c>
      <c r="AG35" s="666">
        <f>טבלה38[[#This Row],[פריסת אמצע]]*טבלה38[[#This Row],[מחיר ליח'' כולל ]]</f>
        <v>0</v>
      </c>
      <c r="AH35" s="666">
        <f>טבלה38[[#This Row],[מרק]]*טבלה38[[#This Row],[מחיר ליח'' כולל ]]</f>
        <v>0</v>
      </c>
      <c r="AI35" s="666">
        <f>טבלה38[[#This Row],[ערב בישול 1]]*טבלה38[[#This Row],[מחיר ליח'' כולל ]]</f>
        <v>0</v>
      </c>
      <c r="AJ35" s="666">
        <f>טבלה38[[#This Row],[ערב בישול 2]]*טבלה38[[#This Row],[מחיר ליח'' כולל ]]</f>
        <v>0</v>
      </c>
      <c r="AK35" s="666">
        <f>טבלה38[[#This Row],[ערב בישול 3]]*טבלה38[[#This Row],[מחיר ליח'' כולל ]]</f>
        <v>0</v>
      </c>
      <c r="AL35" s="666">
        <f>טבלה38[[#This Row],[ערב קטן 1]]*טבלה38[[#This Row],[מחיר ליח'' כולל ]]</f>
        <v>0</v>
      </c>
      <c r="AM35" s="666">
        <f>טבלה38[[#This Row],[ערב קטן 2]]*טבלה38[[#This Row],[מחיר ליח'' כולל ]]</f>
        <v>0</v>
      </c>
      <c r="AN35" s="666">
        <f>טבלה38[[#This Row],[ערב קטן 3]]*טבלה38[[#This Row],[מחיר ליח'' כולל ]]</f>
        <v>0</v>
      </c>
      <c r="AO35" s="666">
        <f>טבלה38[[#This Row],[קיטים מיוחדים]]*טבלה38[[#This Row],[מחיר ליח'' כולל ]]</f>
        <v>0</v>
      </c>
      <c r="AP35" s="666">
        <f>טבלה38[[#This Row],[תוספות]]*טבלה38[[#This Row],[מחיר ליח'' כולל ]]</f>
        <v>0</v>
      </c>
    </row>
    <row r="36" spans="2:42" ht="14.4">
      <c r="B36" s="651">
        <v>397</v>
      </c>
      <c r="C36" s="650" t="s">
        <v>377</v>
      </c>
      <c r="D36" s="650" t="s">
        <v>8</v>
      </c>
      <c r="E36" s="650"/>
      <c r="F36" s="649" t="str">
        <f>IF(טבלה38[[#This Row],[סה"כ]]&gt;0,טבלה38[[#This Row],[סה"כ]],"")</f>
        <v/>
      </c>
      <c r="G36" s="656">
        <v>0</v>
      </c>
      <c r="H36" s="655">
        <f>טבלה38[[#This Row],[מחיר]]+טבלה38[[#This Row],[% מע"מ]]*טבלה38[[#This Row],[מחיר]]</f>
        <v>0</v>
      </c>
      <c r="I36" s="630">
        <f>טבלה38[[#This Row],[סה"כ]]*טבלה38[[#This Row],[מחיר ליח'' כולל ]]</f>
        <v>0</v>
      </c>
      <c r="J36" s="655">
        <f>SUM(טבלה38[[#This Row],[פימת קפה]:[תוספות]])</f>
        <v>0</v>
      </c>
      <c r="K36" s="655">
        <f>SUMIF(טבלה11517[מקט],טבלה38[[#This Row],[קוד מוצר]],טבלה11517[כמות])</f>
        <v>0</v>
      </c>
      <c r="L36" s="655">
        <f>SUMIF(טבלה115179[מקט],טבלה38[[#This Row],[קוד מוצר]],טבלה115179[כמות])</f>
        <v>0</v>
      </c>
      <c r="M36" s="655">
        <f>SUMIF(טבלה115[מקט],טבלה38[[#This Row],[קוד מוצר]],טבלה115[כמות])</f>
        <v>0</v>
      </c>
      <c r="N36" s="655">
        <f>SUMIF(טבלה1[מק"ט],טבלה38[[#This Row],[קוד מוצר]],טבלה1[כמות])</f>
        <v>0</v>
      </c>
      <c r="O36" s="655">
        <f>SUMIF(טבלה8[מק"ט],טבלה38[[#This Row],[קוד מוצר]],טבלה8[הזמנה])</f>
        <v>0</v>
      </c>
      <c r="P36" s="655">
        <f>SUMIF(טבלה15[מק"ט],טבלה38[[#This Row],[קוד מוצר]],טבלה15[הזמנה])</f>
        <v>0</v>
      </c>
      <c r="Q36" s="655">
        <f>SUMIF(טבלה1151718[מקט],טבלה38[[#This Row],[קוד מוצר]],טבלה1151718[כמות])</f>
        <v>0</v>
      </c>
      <c r="R36" s="655">
        <f>SUMIF(טבלה125[מקט],טבלה38[[#This Row],[קוד מוצר]],טבלה125[כמות])</f>
        <v>0</v>
      </c>
      <c r="S36" s="655">
        <f>SUMIF(טבלה33[מק"ט],טבלה38[[#This Row],[קוד מוצר]],טבלה33[הזמנה])</f>
        <v>0</v>
      </c>
      <c r="T36" s="655">
        <f>SUMIF(טבלה34[עמודה1],טבלה38[[#This Row],[קוד מוצר]],טבלה34[הזמנה])</f>
        <v>0</v>
      </c>
      <c r="U36" s="655">
        <f>SUMIF(טבלה35[עמודה1],טבלה38[[#This Row],[קוד מוצר]],טבלה35[הזמנה])</f>
        <v>0</v>
      </c>
      <c r="V36" s="655">
        <f>SUMIF(טבלה3338[מק"ט],טבלה38[[#This Row],[קוד מוצר]],טבלה3338[הזמנה])</f>
        <v>0</v>
      </c>
      <c r="W36" s="655">
        <f>SUMIF(טבלה3540[עמודה1],טבלה38[[#This Row],[קוד מוצר]],טבלה3540[הזמנה])</f>
        <v>0</v>
      </c>
      <c r="X36" s="655">
        <f>SUMIF(טבלה3441[עמודה1],טבלה38[[#This Row],[קוד מוצר]],טבלה3441[הזמנה])</f>
        <v>0</v>
      </c>
      <c r="Y36" s="655">
        <f>SUMIF(טבלה24[מקט],טבלה38[[#This Row],[קוד מוצר]],טבלה24[כמות])</f>
        <v>0</v>
      </c>
      <c r="Z36" s="655">
        <f>SUMIF(טבלה628[קוד מוצר],טבלה38[[#This Row],[קוד מוצר]],טבלה628[תוספת])</f>
        <v>0</v>
      </c>
      <c r="AA36" s="610">
        <f>טבלה38[[#This Row],[פימת קפה]]*טבלה38[[#This Row],[מחיר ליח'' כולל ]]</f>
        <v>0</v>
      </c>
      <c r="AB36" s="610">
        <f>טבלה38[[#This Row],[פת שחרית]]*טבלה38[[#This Row],[מחיר ליח'' כולל ]]</f>
        <v>0</v>
      </c>
      <c r="AC36" s="610">
        <f>טבלה38[[#This Row],[א. בוקר פריסה]]*טבלה38[[#This Row],[מחיר ליח'' כולל ]]</f>
        <v>0</v>
      </c>
      <c r="AD36" s="666">
        <f>טבלה38[[#This Row],[א. צהררים פריסה ]]*טבלה38[[#This Row],[מחיר ליח'' כולל ]]</f>
        <v>0</v>
      </c>
      <c r="AE36" s="666">
        <f>טבלה38[[#This Row],[בוקר קיטים]]*טבלה38[[#This Row],[מחיר ליח'' כולל ]]</f>
        <v>0</v>
      </c>
      <c r="AF36" s="666">
        <f>טבלה38[[#This Row],[צהריים קיטים]]*טבלה38[[#This Row],[מחיר ליח'' כולל ]]</f>
        <v>0</v>
      </c>
      <c r="AG36" s="666">
        <f>טבלה38[[#This Row],[פריסת אמצע]]*טבלה38[[#This Row],[מחיר ליח'' כולל ]]</f>
        <v>0</v>
      </c>
      <c r="AH36" s="666">
        <f>טבלה38[[#This Row],[מרק]]*טבלה38[[#This Row],[מחיר ליח'' כולל ]]</f>
        <v>0</v>
      </c>
      <c r="AI36" s="666">
        <f>טבלה38[[#This Row],[ערב בישול 1]]*טבלה38[[#This Row],[מחיר ליח'' כולל ]]</f>
        <v>0</v>
      </c>
      <c r="AJ36" s="666">
        <f>טבלה38[[#This Row],[ערב בישול 2]]*טבלה38[[#This Row],[מחיר ליח'' כולל ]]</f>
        <v>0</v>
      </c>
      <c r="AK36" s="666">
        <f>טבלה38[[#This Row],[ערב בישול 3]]*טבלה38[[#This Row],[מחיר ליח'' כולל ]]</f>
        <v>0</v>
      </c>
      <c r="AL36" s="666">
        <f>טבלה38[[#This Row],[ערב קטן 1]]*טבלה38[[#This Row],[מחיר ליח'' כולל ]]</f>
        <v>0</v>
      </c>
      <c r="AM36" s="666">
        <f>טבלה38[[#This Row],[ערב קטן 2]]*טבלה38[[#This Row],[מחיר ליח'' כולל ]]</f>
        <v>0</v>
      </c>
      <c r="AN36" s="666">
        <f>טבלה38[[#This Row],[ערב קטן 3]]*טבלה38[[#This Row],[מחיר ליח'' כולל ]]</f>
        <v>0</v>
      </c>
      <c r="AO36" s="666">
        <f>טבלה38[[#This Row],[קיטים מיוחדים]]*טבלה38[[#This Row],[מחיר ליח'' כולל ]]</f>
        <v>0</v>
      </c>
      <c r="AP36" s="666">
        <f>טבלה38[[#This Row],[תוספות]]*טבלה38[[#This Row],[מחיר ליח'' כולל ]]</f>
        <v>0</v>
      </c>
    </row>
    <row r="37" spans="2:42" ht="14.4">
      <c r="B37" s="651">
        <v>522</v>
      </c>
      <c r="C37" s="650" t="s">
        <v>1054</v>
      </c>
      <c r="E37" s="650"/>
      <c r="F37" s="649" t="str">
        <f>IF(טבלה38[[#This Row],[סה"כ]]&gt;0,טבלה38[[#This Row],[סה"כ]],"")</f>
        <v/>
      </c>
      <c r="G37" s="656">
        <v>0.17</v>
      </c>
      <c r="H37" s="655">
        <f>טבלה38[[#This Row],[מחיר]]+טבלה38[[#This Row],[% מע"מ]]*טבלה38[[#This Row],[מחיר]]</f>
        <v>0</v>
      </c>
      <c r="I37" s="630">
        <f>טבלה38[[#This Row],[סה"כ]]*טבלה38[[#This Row],[מחיר ליח'' כולל ]]</f>
        <v>0</v>
      </c>
      <c r="J37" s="655">
        <f>SUM(טבלה38[[#This Row],[פימת קפה]:[תוספות]])</f>
        <v>0</v>
      </c>
      <c r="K37" s="655">
        <f>SUMIF(טבלה11517[מקט],טבלה38[[#This Row],[קוד מוצר]],טבלה11517[כמות])</f>
        <v>0</v>
      </c>
      <c r="L37" s="655">
        <f>SUMIF(טבלה115179[מקט],טבלה38[[#This Row],[קוד מוצר]],טבלה115179[כמות])</f>
        <v>0</v>
      </c>
      <c r="M37" s="655">
        <f>SUMIF(טבלה115[מקט],טבלה38[[#This Row],[קוד מוצר]],טבלה115[כמות])</f>
        <v>0</v>
      </c>
      <c r="N37" s="655">
        <f>SUMIF(טבלה1[מק"ט],טבלה38[[#This Row],[קוד מוצר]],טבלה1[כמות])</f>
        <v>0</v>
      </c>
      <c r="O37" s="655">
        <f>SUMIF(טבלה8[מק"ט],טבלה38[[#This Row],[קוד מוצר]],טבלה8[הזמנה])</f>
        <v>0</v>
      </c>
      <c r="P37" s="655">
        <f>SUMIF(טבלה15[מק"ט],טבלה38[[#This Row],[קוד מוצר]],טבלה15[הזמנה])</f>
        <v>0</v>
      </c>
      <c r="Q37" s="655">
        <f>SUMIF(טבלה1151718[מקט],טבלה38[[#This Row],[קוד מוצר]],טבלה1151718[כמות])</f>
        <v>0</v>
      </c>
      <c r="R37" s="655">
        <f>SUMIF(טבלה125[מקט],טבלה38[[#This Row],[קוד מוצר]],טבלה125[כמות])</f>
        <v>0</v>
      </c>
      <c r="S37" s="655">
        <f>SUMIF(טבלה33[מק"ט],טבלה38[[#This Row],[קוד מוצר]],טבלה33[הזמנה])</f>
        <v>0</v>
      </c>
      <c r="T37" s="655">
        <f>SUMIF(טבלה34[עמודה1],טבלה38[[#This Row],[קוד מוצר]],טבלה34[הזמנה])</f>
        <v>0</v>
      </c>
      <c r="U37" s="655">
        <f>SUMIF(טבלה35[עמודה1],טבלה38[[#This Row],[קוד מוצר]],טבלה35[הזמנה])</f>
        <v>0</v>
      </c>
      <c r="V37" s="655">
        <f>SUMIF(טבלה3338[מק"ט],טבלה38[[#This Row],[קוד מוצר]],טבלה3338[הזמנה])</f>
        <v>0</v>
      </c>
      <c r="W37" s="655">
        <f>SUMIF(טבלה3540[עמודה1],טבלה38[[#This Row],[קוד מוצר]],טבלה3540[הזמנה])</f>
        <v>0</v>
      </c>
      <c r="X37" s="655">
        <f>SUMIF(טבלה3441[עמודה1],טבלה38[[#This Row],[קוד מוצר]],טבלה3441[הזמנה])</f>
        <v>0</v>
      </c>
      <c r="Y37" s="655">
        <f>SUMIF(טבלה24[מקט],טבלה38[[#This Row],[קוד מוצר]],טבלה24[כמות])</f>
        <v>0</v>
      </c>
      <c r="Z37" s="655">
        <f>SUMIF(טבלה628[קוד מוצר],טבלה38[[#This Row],[קוד מוצר]],טבלה628[תוספת])</f>
        <v>0</v>
      </c>
      <c r="AA37" s="610">
        <f>טבלה38[[#This Row],[פימת קפה]]*טבלה38[[#This Row],[מחיר ליח'' כולל ]]</f>
        <v>0</v>
      </c>
      <c r="AB37" s="610">
        <f>טבלה38[[#This Row],[פת שחרית]]*טבלה38[[#This Row],[מחיר ליח'' כולל ]]</f>
        <v>0</v>
      </c>
      <c r="AC37" s="610">
        <f>טבלה38[[#This Row],[א. בוקר פריסה]]*טבלה38[[#This Row],[מחיר ליח'' כולל ]]</f>
        <v>0</v>
      </c>
      <c r="AD37" s="666">
        <f>טבלה38[[#This Row],[א. צהררים פריסה ]]*טבלה38[[#This Row],[מחיר ליח'' כולל ]]</f>
        <v>0</v>
      </c>
      <c r="AE37" s="666">
        <f>טבלה38[[#This Row],[בוקר קיטים]]*טבלה38[[#This Row],[מחיר ליח'' כולל ]]</f>
        <v>0</v>
      </c>
      <c r="AF37" s="666">
        <f>טבלה38[[#This Row],[צהריים קיטים]]*טבלה38[[#This Row],[מחיר ליח'' כולל ]]</f>
        <v>0</v>
      </c>
      <c r="AG37" s="666">
        <f>טבלה38[[#This Row],[פריסת אמצע]]*טבלה38[[#This Row],[מחיר ליח'' כולל ]]</f>
        <v>0</v>
      </c>
      <c r="AH37" s="666">
        <f>טבלה38[[#This Row],[מרק]]*טבלה38[[#This Row],[מחיר ליח'' כולל ]]</f>
        <v>0</v>
      </c>
      <c r="AI37" s="666">
        <f>טבלה38[[#This Row],[ערב בישול 1]]*טבלה38[[#This Row],[מחיר ליח'' כולל ]]</f>
        <v>0</v>
      </c>
      <c r="AJ37" s="666">
        <f>טבלה38[[#This Row],[ערב בישול 2]]*טבלה38[[#This Row],[מחיר ליח'' כולל ]]</f>
        <v>0</v>
      </c>
      <c r="AK37" s="666">
        <f>טבלה38[[#This Row],[ערב בישול 3]]*טבלה38[[#This Row],[מחיר ליח'' כולל ]]</f>
        <v>0</v>
      </c>
      <c r="AL37" s="666">
        <f>טבלה38[[#This Row],[ערב קטן 1]]*טבלה38[[#This Row],[מחיר ליח'' כולל ]]</f>
        <v>0</v>
      </c>
      <c r="AM37" s="666">
        <f>טבלה38[[#This Row],[ערב קטן 2]]*טבלה38[[#This Row],[מחיר ליח'' כולל ]]</f>
        <v>0</v>
      </c>
      <c r="AN37" s="666">
        <f>טבלה38[[#This Row],[ערב קטן 3]]*טבלה38[[#This Row],[מחיר ליח'' כולל ]]</f>
        <v>0</v>
      </c>
      <c r="AO37" s="666">
        <f>טבלה38[[#This Row],[קיטים מיוחדים]]*טבלה38[[#This Row],[מחיר ליח'' כולל ]]</f>
        <v>0</v>
      </c>
      <c r="AP37" s="666">
        <f>טבלה38[[#This Row],[תוספות]]*טבלה38[[#This Row],[מחיר ליח'' כולל ]]</f>
        <v>0</v>
      </c>
    </row>
    <row r="38" spans="2:42" ht="14.4">
      <c r="B38" s="651">
        <v>688</v>
      </c>
      <c r="C38" s="650" t="s">
        <v>564</v>
      </c>
      <c r="D38" s="650" t="s">
        <v>602</v>
      </c>
      <c r="E38" s="650"/>
      <c r="F38" s="649" t="str">
        <f>IF(טבלה38[[#This Row],[סה"כ]]&gt;0,טבלה38[[#This Row],[סה"כ]],"")</f>
        <v/>
      </c>
      <c r="G38" s="656">
        <v>0.17</v>
      </c>
      <c r="H38" s="655">
        <f>טבלה38[[#This Row],[מחיר]]+טבלה38[[#This Row],[% מע"מ]]*טבלה38[[#This Row],[מחיר]]</f>
        <v>0</v>
      </c>
      <c r="I38" s="630">
        <f>טבלה38[[#This Row],[סה"כ]]*טבלה38[[#This Row],[מחיר ליח'' כולל ]]</f>
        <v>0</v>
      </c>
      <c r="J38" s="655">
        <f>SUM(טבלה38[[#This Row],[פימת קפה]:[תוספות]])</f>
        <v>0</v>
      </c>
      <c r="K38" s="655">
        <f>SUMIF(טבלה11517[מקט],טבלה38[[#This Row],[קוד מוצר]],טבלה11517[כמות])</f>
        <v>0</v>
      </c>
      <c r="L38" s="655">
        <f>SUMIF(טבלה115179[מקט],טבלה38[[#This Row],[קוד מוצר]],טבלה115179[כמות])</f>
        <v>0</v>
      </c>
      <c r="M38" s="655">
        <f>SUMIF(טבלה115[מקט],טבלה38[[#This Row],[קוד מוצר]],טבלה115[כמות])</f>
        <v>0</v>
      </c>
      <c r="N38" s="655">
        <f>SUMIF(טבלה1[מק"ט],טבלה38[[#This Row],[קוד מוצר]],טבלה1[כמות])</f>
        <v>0</v>
      </c>
      <c r="O38" s="655">
        <f>SUMIF(טבלה8[מק"ט],טבלה38[[#This Row],[קוד מוצר]],טבלה8[הזמנה])</f>
        <v>0</v>
      </c>
      <c r="P38" s="655">
        <f>SUMIF(טבלה15[מק"ט],טבלה38[[#This Row],[קוד מוצר]],טבלה15[הזמנה])</f>
        <v>0</v>
      </c>
      <c r="Q38" s="655">
        <f>SUMIF(טבלה1151718[מקט],טבלה38[[#This Row],[קוד מוצר]],טבלה1151718[כמות])</f>
        <v>0</v>
      </c>
      <c r="R38" s="655">
        <f>SUMIF(טבלה125[מקט],טבלה38[[#This Row],[קוד מוצר]],טבלה125[כמות])</f>
        <v>0</v>
      </c>
      <c r="S38" s="655">
        <f>SUMIF(טבלה33[מק"ט],טבלה38[[#This Row],[קוד מוצר]],טבלה33[הזמנה])</f>
        <v>0</v>
      </c>
      <c r="T38" s="655">
        <f>SUMIF(טבלה34[עמודה1],טבלה38[[#This Row],[קוד מוצר]],טבלה34[הזמנה])</f>
        <v>0</v>
      </c>
      <c r="U38" s="655">
        <f>SUMIF(טבלה35[עמודה1],טבלה38[[#This Row],[קוד מוצר]],טבלה35[הזמנה])</f>
        <v>0</v>
      </c>
      <c r="V38" s="655">
        <f>SUMIF(טבלה3338[מק"ט],טבלה38[[#This Row],[קוד מוצר]],טבלה3338[הזמנה])</f>
        <v>0</v>
      </c>
      <c r="W38" s="655">
        <f>SUMIF(טבלה3540[עמודה1],טבלה38[[#This Row],[קוד מוצר]],טבלה3540[הזמנה])</f>
        <v>0</v>
      </c>
      <c r="X38" s="655">
        <f>SUMIF(טבלה3441[עמודה1],טבלה38[[#This Row],[קוד מוצר]],טבלה3441[הזמנה])</f>
        <v>0</v>
      </c>
      <c r="Y38" s="655">
        <f>SUMIF(טבלה24[מקט],טבלה38[[#This Row],[קוד מוצר]],טבלה24[כמות])</f>
        <v>0</v>
      </c>
      <c r="Z38" s="655">
        <f>SUMIF(טבלה628[קוד מוצר],טבלה38[[#This Row],[קוד מוצר]],טבלה628[תוספת])</f>
        <v>0</v>
      </c>
      <c r="AA38" s="610">
        <f>טבלה38[[#This Row],[פימת קפה]]*טבלה38[[#This Row],[מחיר ליח'' כולל ]]</f>
        <v>0</v>
      </c>
      <c r="AB38" s="610">
        <f>טבלה38[[#This Row],[פת שחרית]]*טבלה38[[#This Row],[מחיר ליח'' כולל ]]</f>
        <v>0</v>
      </c>
      <c r="AC38" s="610">
        <f>טבלה38[[#This Row],[א. בוקר פריסה]]*טבלה38[[#This Row],[מחיר ליח'' כולל ]]</f>
        <v>0</v>
      </c>
      <c r="AD38" s="666">
        <f>טבלה38[[#This Row],[א. צהררים פריסה ]]*טבלה38[[#This Row],[מחיר ליח'' כולל ]]</f>
        <v>0</v>
      </c>
      <c r="AE38" s="666">
        <f>טבלה38[[#This Row],[בוקר קיטים]]*טבלה38[[#This Row],[מחיר ליח'' כולל ]]</f>
        <v>0</v>
      </c>
      <c r="AF38" s="666">
        <f>טבלה38[[#This Row],[צהריים קיטים]]*טבלה38[[#This Row],[מחיר ליח'' כולל ]]</f>
        <v>0</v>
      </c>
      <c r="AG38" s="666">
        <f>טבלה38[[#This Row],[פריסת אמצע]]*טבלה38[[#This Row],[מחיר ליח'' כולל ]]</f>
        <v>0</v>
      </c>
      <c r="AH38" s="666">
        <f>טבלה38[[#This Row],[מרק]]*טבלה38[[#This Row],[מחיר ליח'' כולל ]]</f>
        <v>0</v>
      </c>
      <c r="AI38" s="666">
        <f>טבלה38[[#This Row],[ערב בישול 1]]*טבלה38[[#This Row],[מחיר ליח'' כולל ]]</f>
        <v>0</v>
      </c>
      <c r="AJ38" s="666">
        <f>טבלה38[[#This Row],[ערב בישול 2]]*טבלה38[[#This Row],[מחיר ליח'' כולל ]]</f>
        <v>0</v>
      </c>
      <c r="AK38" s="666">
        <f>טבלה38[[#This Row],[ערב בישול 3]]*טבלה38[[#This Row],[מחיר ליח'' כולל ]]</f>
        <v>0</v>
      </c>
      <c r="AL38" s="666">
        <f>טבלה38[[#This Row],[ערב קטן 1]]*טבלה38[[#This Row],[מחיר ליח'' כולל ]]</f>
        <v>0</v>
      </c>
      <c r="AM38" s="666">
        <f>טבלה38[[#This Row],[ערב קטן 2]]*טבלה38[[#This Row],[מחיר ליח'' כולל ]]</f>
        <v>0</v>
      </c>
      <c r="AN38" s="666">
        <f>טבלה38[[#This Row],[ערב קטן 3]]*טבלה38[[#This Row],[מחיר ליח'' כולל ]]</f>
        <v>0</v>
      </c>
      <c r="AO38" s="666">
        <f>טבלה38[[#This Row],[קיטים מיוחדים]]*טבלה38[[#This Row],[מחיר ליח'' כולל ]]</f>
        <v>0</v>
      </c>
      <c r="AP38" s="666">
        <f>טבלה38[[#This Row],[תוספות]]*טבלה38[[#This Row],[מחיר ליח'' כולל ]]</f>
        <v>0</v>
      </c>
    </row>
    <row r="39" spans="2:42" ht="14.4">
      <c r="B39" s="651">
        <v>6173</v>
      </c>
      <c r="C39" s="650" t="s">
        <v>943</v>
      </c>
      <c r="D39" s="650" t="s">
        <v>602</v>
      </c>
      <c r="E39" s="650"/>
      <c r="F39" s="649" t="str">
        <f>IF(טבלה38[[#This Row],[סה"כ]]&gt;0,טבלה38[[#This Row],[סה"כ]],"")</f>
        <v/>
      </c>
      <c r="G39" s="656">
        <v>0.17</v>
      </c>
      <c r="H39" s="655">
        <f>טבלה38[[#This Row],[מחיר]]+טבלה38[[#This Row],[% מע"מ]]*טבלה38[[#This Row],[מחיר]]</f>
        <v>0</v>
      </c>
      <c r="I39" s="630">
        <f>טבלה38[[#This Row],[סה"כ]]*טבלה38[[#This Row],[מחיר ליח'' כולל ]]</f>
        <v>0</v>
      </c>
      <c r="J39" s="655">
        <f>SUM(טבלה38[[#This Row],[פימת קפה]:[תוספות]])</f>
        <v>0</v>
      </c>
      <c r="K39" s="655">
        <f>SUMIF(טבלה11517[מקט],טבלה38[[#This Row],[קוד מוצר]],טבלה11517[כמות])</f>
        <v>0</v>
      </c>
      <c r="L39" s="655">
        <f>SUMIF(טבלה115179[מקט],טבלה38[[#This Row],[קוד מוצר]],טבלה115179[כמות])</f>
        <v>0</v>
      </c>
      <c r="M39" s="655">
        <f>SUMIF(טבלה115[מקט],טבלה38[[#This Row],[קוד מוצר]],טבלה115[כמות])</f>
        <v>0</v>
      </c>
      <c r="N39" s="655">
        <f>SUMIF(טבלה1[מק"ט],טבלה38[[#This Row],[קוד מוצר]],טבלה1[כמות])</f>
        <v>0</v>
      </c>
      <c r="O39" s="655">
        <f>SUMIF(טבלה8[מק"ט],טבלה38[[#This Row],[קוד מוצר]],טבלה8[הזמנה])</f>
        <v>0</v>
      </c>
      <c r="P39" s="655">
        <f>SUMIF(טבלה15[מק"ט],טבלה38[[#This Row],[קוד מוצר]],טבלה15[הזמנה])</f>
        <v>0</v>
      </c>
      <c r="Q39" s="655">
        <f>SUMIF(טבלה1151718[מקט],טבלה38[[#This Row],[קוד מוצר]],טבלה1151718[כמות])</f>
        <v>0</v>
      </c>
      <c r="R39" s="655">
        <f>SUMIF(טבלה125[מקט],טבלה38[[#This Row],[קוד מוצר]],טבלה125[כמות])</f>
        <v>0</v>
      </c>
      <c r="S39" s="655">
        <f>SUMIF(טבלה33[מק"ט],טבלה38[[#This Row],[קוד מוצר]],טבלה33[הזמנה])</f>
        <v>0</v>
      </c>
      <c r="T39" s="655">
        <f>SUMIF(טבלה34[עמודה1],טבלה38[[#This Row],[קוד מוצר]],טבלה34[הזמנה])</f>
        <v>0</v>
      </c>
      <c r="U39" s="655">
        <f>SUMIF(טבלה35[עמודה1],טבלה38[[#This Row],[קוד מוצר]],טבלה35[הזמנה])</f>
        <v>0</v>
      </c>
      <c r="V39" s="655">
        <f>SUMIF(טבלה3338[מק"ט],טבלה38[[#This Row],[קוד מוצר]],טבלה3338[הזמנה])</f>
        <v>0</v>
      </c>
      <c r="W39" s="655">
        <f>SUMIF(טבלה3540[עמודה1],טבלה38[[#This Row],[קוד מוצר]],טבלה3540[הזמנה])</f>
        <v>0</v>
      </c>
      <c r="X39" s="655">
        <f>SUMIF(טבלה3441[עמודה1],טבלה38[[#This Row],[קוד מוצר]],טבלה3441[הזמנה])</f>
        <v>0</v>
      </c>
      <c r="Y39" s="655">
        <f>SUMIF(טבלה24[מקט],טבלה38[[#This Row],[קוד מוצר]],טבלה24[כמות])</f>
        <v>0</v>
      </c>
      <c r="Z39" s="655">
        <f>SUMIF(טבלה628[קוד מוצר],טבלה38[[#This Row],[קוד מוצר]],טבלה628[תוספת])</f>
        <v>0</v>
      </c>
      <c r="AA39" s="610">
        <f>טבלה38[[#This Row],[פימת קפה]]*טבלה38[[#This Row],[מחיר ליח'' כולל ]]</f>
        <v>0</v>
      </c>
      <c r="AB39" s="610">
        <f>טבלה38[[#This Row],[פת שחרית]]*טבלה38[[#This Row],[מחיר ליח'' כולל ]]</f>
        <v>0</v>
      </c>
      <c r="AC39" s="610">
        <f>טבלה38[[#This Row],[א. בוקר פריסה]]*טבלה38[[#This Row],[מחיר ליח'' כולל ]]</f>
        <v>0</v>
      </c>
      <c r="AD39" s="666">
        <f>טבלה38[[#This Row],[א. צהררים פריסה ]]*טבלה38[[#This Row],[מחיר ליח'' כולל ]]</f>
        <v>0</v>
      </c>
      <c r="AE39" s="666">
        <f>טבלה38[[#This Row],[בוקר קיטים]]*טבלה38[[#This Row],[מחיר ליח'' כולל ]]</f>
        <v>0</v>
      </c>
      <c r="AF39" s="666">
        <f>טבלה38[[#This Row],[צהריים קיטים]]*טבלה38[[#This Row],[מחיר ליח'' כולל ]]</f>
        <v>0</v>
      </c>
      <c r="AG39" s="666">
        <f>טבלה38[[#This Row],[פריסת אמצע]]*טבלה38[[#This Row],[מחיר ליח'' כולל ]]</f>
        <v>0</v>
      </c>
      <c r="AH39" s="666">
        <f>טבלה38[[#This Row],[מרק]]*טבלה38[[#This Row],[מחיר ליח'' כולל ]]</f>
        <v>0</v>
      </c>
      <c r="AI39" s="666">
        <f>טבלה38[[#This Row],[ערב בישול 1]]*טבלה38[[#This Row],[מחיר ליח'' כולל ]]</f>
        <v>0</v>
      </c>
      <c r="AJ39" s="666">
        <f>טבלה38[[#This Row],[ערב בישול 2]]*טבלה38[[#This Row],[מחיר ליח'' כולל ]]</f>
        <v>0</v>
      </c>
      <c r="AK39" s="666">
        <f>טבלה38[[#This Row],[ערב בישול 3]]*טבלה38[[#This Row],[מחיר ליח'' כולל ]]</f>
        <v>0</v>
      </c>
      <c r="AL39" s="666">
        <f>טבלה38[[#This Row],[ערב קטן 1]]*טבלה38[[#This Row],[מחיר ליח'' כולל ]]</f>
        <v>0</v>
      </c>
      <c r="AM39" s="666">
        <f>טבלה38[[#This Row],[ערב קטן 2]]*טבלה38[[#This Row],[מחיר ליח'' כולל ]]</f>
        <v>0</v>
      </c>
      <c r="AN39" s="666">
        <f>טבלה38[[#This Row],[ערב קטן 3]]*טבלה38[[#This Row],[מחיר ליח'' כולל ]]</f>
        <v>0</v>
      </c>
      <c r="AO39" s="666">
        <f>טבלה38[[#This Row],[קיטים מיוחדים]]*טבלה38[[#This Row],[מחיר ליח'' כולל ]]</f>
        <v>0</v>
      </c>
      <c r="AP39" s="666">
        <f>טבלה38[[#This Row],[תוספות]]*טבלה38[[#This Row],[מחיר ליח'' כולל ]]</f>
        <v>0</v>
      </c>
    </row>
    <row r="40" spans="2:42" ht="15.6">
      <c r="B40" s="651">
        <v>11710</v>
      </c>
      <c r="C40" s="650" t="s">
        <v>1107</v>
      </c>
      <c r="D40" s="650" t="s">
        <v>602</v>
      </c>
      <c r="E40" s="650"/>
      <c r="F40" s="652" t="str">
        <f>IF(טבלה38[[#This Row],[סה"כ]]&gt;0,טבלה38[[#This Row],[סה"כ]],"")</f>
        <v/>
      </c>
      <c r="G40" s="656">
        <v>0.17</v>
      </c>
      <c r="H40" s="655">
        <f>טבלה38[[#This Row],[מחיר]]+טבלה38[[#This Row],[% מע"מ]]*טבלה38[[#This Row],[מחיר]]</f>
        <v>0</v>
      </c>
      <c r="I40" s="630">
        <f>טבלה38[[#This Row],[סה"כ]]*טבלה38[[#This Row],[מחיר ליח'' כולל ]]</f>
        <v>0</v>
      </c>
      <c r="J40" s="655">
        <f>SUM(טבלה38[[#This Row],[פימת קפה]:[תוספות]])</f>
        <v>0</v>
      </c>
      <c r="K40" s="655">
        <f>SUMIF(טבלה11517[מקט],טבלה38[[#This Row],[קוד מוצר]],טבלה11517[כמות])</f>
        <v>0</v>
      </c>
      <c r="L40" s="655">
        <f>SUMIF(טבלה115179[מקט],טבלה38[[#This Row],[קוד מוצר]],טבלה115179[כמות])</f>
        <v>0</v>
      </c>
      <c r="M40" s="655">
        <f>SUMIF(טבלה115[מקט],טבלה38[[#This Row],[קוד מוצר]],טבלה115[כמות])</f>
        <v>0</v>
      </c>
      <c r="N40" s="655">
        <f>SUMIF(טבלה1[מק"ט],טבלה38[[#This Row],[קוד מוצר]],טבלה1[כמות])</f>
        <v>0</v>
      </c>
      <c r="O40" s="655">
        <f>SUMIF(טבלה8[מק"ט],טבלה38[[#This Row],[קוד מוצר]],טבלה8[הזמנה])</f>
        <v>0</v>
      </c>
      <c r="P40" s="655">
        <f>SUMIF(טבלה15[מק"ט],טבלה38[[#This Row],[קוד מוצר]],טבלה15[הזמנה])</f>
        <v>0</v>
      </c>
      <c r="Q40" s="655">
        <f>SUMIF(טבלה1151718[מקט],טבלה38[[#This Row],[קוד מוצר]],טבלה1151718[כמות])</f>
        <v>0</v>
      </c>
      <c r="R40" s="655">
        <f>SUMIF(טבלה125[מקט],טבלה38[[#This Row],[קוד מוצר]],טבלה125[כמות])</f>
        <v>0</v>
      </c>
      <c r="S40" s="655">
        <f>SUMIF(טבלה33[מק"ט],טבלה38[[#This Row],[קוד מוצר]],טבלה33[הזמנה])</f>
        <v>0</v>
      </c>
      <c r="T40" s="655">
        <f>SUMIF(טבלה34[עמודה1],טבלה38[[#This Row],[קוד מוצר]],טבלה34[הזמנה])</f>
        <v>0</v>
      </c>
      <c r="U40" s="655">
        <f>SUMIF(טבלה35[עמודה1],טבלה38[[#This Row],[קוד מוצר]],טבלה35[הזמנה])</f>
        <v>0</v>
      </c>
      <c r="V40" s="655">
        <f>SUMIF(טבלה3338[מק"ט],טבלה38[[#This Row],[קוד מוצר]],טבלה3338[הזמנה])</f>
        <v>0</v>
      </c>
      <c r="W40" s="655">
        <f>SUMIF(טבלה3540[עמודה1],טבלה38[[#This Row],[קוד מוצר]],טבלה3540[הזמנה])</f>
        <v>0</v>
      </c>
      <c r="X40" s="655">
        <f>SUMIF(טבלה3441[עמודה1],טבלה38[[#This Row],[קוד מוצר]],טבלה3441[הזמנה])</f>
        <v>0</v>
      </c>
      <c r="Y40" s="655">
        <f>SUMIF(טבלה24[מקט],טבלה38[[#This Row],[קוד מוצר]],טבלה24[כמות])</f>
        <v>0</v>
      </c>
      <c r="Z40" s="655">
        <f>SUMIF(טבלה628[קוד מוצר],טבלה38[[#This Row],[קוד מוצר]],טבלה628[תוספת])</f>
        <v>0</v>
      </c>
      <c r="AA40" s="610">
        <f>טבלה38[[#This Row],[פימת קפה]]*טבלה38[[#This Row],[מחיר ליח'' כולל ]]</f>
        <v>0</v>
      </c>
      <c r="AB40" s="610">
        <f>טבלה38[[#This Row],[פת שחרית]]*טבלה38[[#This Row],[מחיר ליח'' כולל ]]</f>
        <v>0</v>
      </c>
      <c r="AC40" s="610">
        <f>טבלה38[[#This Row],[א. בוקר פריסה]]*טבלה38[[#This Row],[מחיר ליח'' כולל ]]</f>
        <v>0</v>
      </c>
      <c r="AD40" s="666">
        <f>טבלה38[[#This Row],[א. צהררים פריסה ]]*טבלה38[[#This Row],[מחיר ליח'' כולל ]]</f>
        <v>0</v>
      </c>
      <c r="AE40" s="666">
        <f>טבלה38[[#This Row],[בוקר קיטים]]*טבלה38[[#This Row],[מחיר ליח'' כולל ]]</f>
        <v>0</v>
      </c>
      <c r="AF40" s="666">
        <f>טבלה38[[#This Row],[צהריים קיטים]]*טבלה38[[#This Row],[מחיר ליח'' כולל ]]</f>
        <v>0</v>
      </c>
      <c r="AG40" s="666">
        <f>טבלה38[[#This Row],[פריסת אמצע]]*טבלה38[[#This Row],[מחיר ליח'' כולל ]]</f>
        <v>0</v>
      </c>
      <c r="AH40" s="666">
        <f>טבלה38[[#This Row],[מרק]]*טבלה38[[#This Row],[מחיר ליח'' כולל ]]</f>
        <v>0</v>
      </c>
      <c r="AI40" s="666">
        <f>טבלה38[[#This Row],[ערב בישול 1]]*טבלה38[[#This Row],[מחיר ליח'' כולל ]]</f>
        <v>0</v>
      </c>
      <c r="AJ40" s="666">
        <f>טבלה38[[#This Row],[ערב בישול 2]]*טבלה38[[#This Row],[מחיר ליח'' כולל ]]</f>
        <v>0</v>
      </c>
      <c r="AK40" s="666">
        <f>טבלה38[[#This Row],[ערב בישול 3]]*טבלה38[[#This Row],[מחיר ליח'' כולל ]]</f>
        <v>0</v>
      </c>
      <c r="AL40" s="666">
        <f>טבלה38[[#This Row],[ערב קטן 1]]*טבלה38[[#This Row],[מחיר ליח'' כולל ]]</f>
        <v>0</v>
      </c>
      <c r="AM40" s="666">
        <f>טבלה38[[#This Row],[ערב קטן 2]]*טבלה38[[#This Row],[מחיר ליח'' כולל ]]</f>
        <v>0</v>
      </c>
      <c r="AN40" s="666">
        <f>טבלה38[[#This Row],[ערב קטן 3]]*טבלה38[[#This Row],[מחיר ליח'' כולל ]]</f>
        <v>0</v>
      </c>
      <c r="AO40" s="666">
        <f>טבלה38[[#This Row],[קיטים מיוחדים]]*טבלה38[[#This Row],[מחיר ליח'' כולל ]]</f>
        <v>0</v>
      </c>
      <c r="AP40" s="666">
        <f>טבלה38[[#This Row],[תוספות]]*טבלה38[[#This Row],[מחיר ליח'' כולל ]]</f>
        <v>0</v>
      </c>
    </row>
    <row r="41" spans="2:42" ht="14.4">
      <c r="B41" s="651">
        <v>6689</v>
      </c>
      <c r="C41" s="650" t="s">
        <v>948</v>
      </c>
      <c r="D41" s="650" t="s">
        <v>602</v>
      </c>
      <c r="E41" s="650"/>
      <c r="F41" s="649" t="str">
        <f>IF(טבלה38[[#This Row],[סה"כ]]&gt;0,טבלה38[[#This Row],[סה"כ]],"")</f>
        <v/>
      </c>
      <c r="G41" s="656">
        <v>0.17</v>
      </c>
      <c r="H41" s="655">
        <f>טבלה38[[#This Row],[מחיר]]+טבלה38[[#This Row],[% מע"מ]]*טבלה38[[#This Row],[מחיר]]</f>
        <v>0</v>
      </c>
      <c r="I41" s="630">
        <f>טבלה38[[#This Row],[סה"כ]]*טבלה38[[#This Row],[מחיר ליח'' כולל ]]</f>
        <v>0</v>
      </c>
      <c r="J41" s="655">
        <f>SUM(טבלה38[[#This Row],[פימת קפה]:[תוספות]])</f>
        <v>0</v>
      </c>
      <c r="K41" s="655">
        <f>SUMIF(טבלה11517[מקט],טבלה38[[#This Row],[קוד מוצר]],טבלה11517[כמות])</f>
        <v>0</v>
      </c>
      <c r="L41" s="655">
        <f>SUMIF(טבלה115179[מקט],טבלה38[[#This Row],[קוד מוצר]],טבלה115179[כמות])</f>
        <v>0</v>
      </c>
      <c r="M41" s="655">
        <f>SUMIF(טבלה115[מקט],טבלה38[[#This Row],[קוד מוצר]],טבלה115[כמות])</f>
        <v>0</v>
      </c>
      <c r="N41" s="655">
        <f>SUMIF(טבלה1[מק"ט],טבלה38[[#This Row],[קוד מוצר]],טבלה1[כמות])</f>
        <v>0</v>
      </c>
      <c r="O41" s="655">
        <f>SUMIF(טבלה8[מק"ט],טבלה38[[#This Row],[קוד מוצר]],טבלה8[הזמנה])</f>
        <v>0</v>
      </c>
      <c r="P41" s="655">
        <f>SUMIF(טבלה15[מק"ט],טבלה38[[#This Row],[קוד מוצר]],טבלה15[הזמנה])</f>
        <v>0</v>
      </c>
      <c r="Q41" s="655">
        <f>SUMIF(טבלה1151718[מקט],טבלה38[[#This Row],[קוד מוצר]],טבלה1151718[כמות])</f>
        <v>0</v>
      </c>
      <c r="R41" s="655">
        <f>SUMIF(טבלה125[מקט],טבלה38[[#This Row],[קוד מוצר]],טבלה125[כמות])</f>
        <v>0</v>
      </c>
      <c r="S41" s="655">
        <f>SUMIF(טבלה33[מק"ט],טבלה38[[#This Row],[קוד מוצר]],טבלה33[הזמנה])</f>
        <v>0</v>
      </c>
      <c r="T41" s="655">
        <f>SUMIF(טבלה34[עמודה1],טבלה38[[#This Row],[קוד מוצר]],טבלה34[הזמנה])</f>
        <v>0</v>
      </c>
      <c r="U41" s="655">
        <f>SUMIF(טבלה35[עמודה1],טבלה38[[#This Row],[קוד מוצר]],טבלה35[הזמנה])</f>
        <v>0</v>
      </c>
      <c r="V41" s="655">
        <f>SUMIF(טבלה3338[מק"ט],טבלה38[[#This Row],[קוד מוצר]],טבלה3338[הזמנה])</f>
        <v>0</v>
      </c>
      <c r="W41" s="655">
        <f>SUMIF(טבלה3540[עמודה1],טבלה38[[#This Row],[קוד מוצר]],טבלה3540[הזמנה])</f>
        <v>0</v>
      </c>
      <c r="X41" s="655">
        <f>SUMIF(טבלה3441[עמודה1],טבלה38[[#This Row],[קוד מוצר]],טבלה3441[הזמנה])</f>
        <v>0</v>
      </c>
      <c r="Y41" s="655">
        <f>SUMIF(טבלה24[מקט],טבלה38[[#This Row],[קוד מוצר]],טבלה24[כמות])</f>
        <v>0</v>
      </c>
      <c r="Z41" s="655">
        <f>SUMIF(טבלה628[קוד מוצר],טבלה38[[#This Row],[קוד מוצר]],טבלה628[תוספת])</f>
        <v>0</v>
      </c>
      <c r="AA41" s="610">
        <f>טבלה38[[#This Row],[פימת קפה]]*טבלה38[[#This Row],[מחיר ליח'' כולל ]]</f>
        <v>0</v>
      </c>
      <c r="AB41" s="610">
        <f>טבלה38[[#This Row],[פת שחרית]]*טבלה38[[#This Row],[מחיר ליח'' כולל ]]</f>
        <v>0</v>
      </c>
      <c r="AC41" s="610">
        <f>טבלה38[[#This Row],[א. בוקר פריסה]]*טבלה38[[#This Row],[מחיר ליח'' כולל ]]</f>
        <v>0</v>
      </c>
      <c r="AD41" s="666">
        <f>טבלה38[[#This Row],[א. צהררים פריסה ]]*טבלה38[[#This Row],[מחיר ליח'' כולל ]]</f>
        <v>0</v>
      </c>
      <c r="AE41" s="666">
        <f>טבלה38[[#This Row],[בוקר קיטים]]*טבלה38[[#This Row],[מחיר ליח'' כולל ]]</f>
        <v>0</v>
      </c>
      <c r="AF41" s="666">
        <f>טבלה38[[#This Row],[צהריים קיטים]]*טבלה38[[#This Row],[מחיר ליח'' כולל ]]</f>
        <v>0</v>
      </c>
      <c r="AG41" s="666">
        <f>טבלה38[[#This Row],[פריסת אמצע]]*טבלה38[[#This Row],[מחיר ליח'' כולל ]]</f>
        <v>0</v>
      </c>
      <c r="AH41" s="666">
        <f>טבלה38[[#This Row],[מרק]]*טבלה38[[#This Row],[מחיר ליח'' כולל ]]</f>
        <v>0</v>
      </c>
      <c r="AI41" s="666">
        <f>טבלה38[[#This Row],[ערב בישול 1]]*טבלה38[[#This Row],[מחיר ליח'' כולל ]]</f>
        <v>0</v>
      </c>
      <c r="AJ41" s="666">
        <f>טבלה38[[#This Row],[ערב בישול 2]]*טבלה38[[#This Row],[מחיר ליח'' כולל ]]</f>
        <v>0</v>
      </c>
      <c r="AK41" s="666">
        <f>טבלה38[[#This Row],[ערב בישול 3]]*טבלה38[[#This Row],[מחיר ליח'' כולל ]]</f>
        <v>0</v>
      </c>
      <c r="AL41" s="666">
        <f>טבלה38[[#This Row],[ערב קטן 1]]*טבלה38[[#This Row],[מחיר ליח'' כולל ]]</f>
        <v>0</v>
      </c>
      <c r="AM41" s="666">
        <f>טבלה38[[#This Row],[ערב קטן 2]]*טבלה38[[#This Row],[מחיר ליח'' כולל ]]</f>
        <v>0</v>
      </c>
      <c r="AN41" s="666">
        <f>טבלה38[[#This Row],[ערב קטן 3]]*טבלה38[[#This Row],[מחיר ליח'' כולל ]]</f>
        <v>0</v>
      </c>
      <c r="AO41" s="666">
        <f>טבלה38[[#This Row],[קיטים מיוחדים]]*טבלה38[[#This Row],[מחיר ליח'' כולל ]]</f>
        <v>0</v>
      </c>
      <c r="AP41" s="666">
        <f>טבלה38[[#This Row],[תוספות]]*טבלה38[[#This Row],[מחיר ליח'' כולל ]]</f>
        <v>0</v>
      </c>
    </row>
    <row r="42" spans="2:42" ht="14.4">
      <c r="B42" s="651">
        <v>8508</v>
      </c>
      <c r="C42" s="650" t="s">
        <v>1060</v>
      </c>
      <c r="E42" s="650"/>
      <c r="F42" s="649" t="str">
        <f>IF(טבלה38[[#This Row],[סה"כ]]&gt;0,טבלה38[[#This Row],[סה"כ]],"")</f>
        <v/>
      </c>
      <c r="G42" s="656">
        <v>0.17</v>
      </c>
      <c r="H42" s="655">
        <f>טבלה38[[#This Row],[מחיר]]+טבלה38[[#This Row],[% מע"מ]]*טבלה38[[#This Row],[מחיר]]</f>
        <v>0</v>
      </c>
      <c r="I42" s="630">
        <f>טבלה38[[#This Row],[סה"כ]]*טבלה38[[#This Row],[מחיר ליח'' כולל ]]</f>
        <v>0</v>
      </c>
      <c r="J42" s="655">
        <f>SUM(טבלה38[[#This Row],[פימת קפה]:[תוספות]])</f>
        <v>0</v>
      </c>
      <c r="K42" s="655">
        <f>SUMIF(טבלה11517[מקט],טבלה38[[#This Row],[קוד מוצר]],טבלה11517[כמות])</f>
        <v>0</v>
      </c>
      <c r="L42" s="655">
        <f>SUMIF(טבלה115179[מקט],טבלה38[[#This Row],[קוד מוצר]],טבלה115179[כמות])</f>
        <v>0</v>
      </c>
      <c r="M42" s="655">
        <f>SUMIF(טבלה115[מקט],טבלה38[[#This Row],[קוד מוצר]],טבלה115[כמות])</f>
        <v>0</v>
      </c>
      <c r="N42" s="655">
        <f>SUMIF(טבלה1[מק"ט],טבלה38[[#This Row],[קוד מוצר]],טבלה1[כמות])</f>
        <v>0</v>
      </c>
      <c r="O42" s="655">
        <f>SUMIF(טבלה8[מק"ט],טבלה38[[#This Row],[קוד מוצר]],טבלה8[הזמנה])</f>
        <v>0</v>
      </c>
      <c r="P42" s="655">
        <f>SUMIF(טבלה15[מק"ט],טבלה38[[#This Row],[קוד מוצר]],טבלה15[הזמנה])</f>
        <v>0</v>
      </c>
      <c r="Q42" s="655">
        <f>SUMIF(טבלה1151718[מקט],טבלה38[[#This Row],[קוד מוצר]],טבלה1151718[כמות])</f>
        <v>0</v>
      </c>
      <c r="R42" s="655">
        <f>SUMIF(טבלה125[מקט],טבלה38[[#This Row],[קוד מוצר]],טבלה125[כמות])</f>
        <v>0</v>
      </c>
      <c r="S42" s="655">
        <f>SUMIF(טבלה33[מק"ט],טבלה38[[#This Row],[קוד מוצר]],טבלה33[הזמנה])</f>
        <v>0</v>
      </c>
      <c r="T42" s="655">
        <f>SUMIF(טבלה34[עמודה1],טבלה38[[#This Row],[קוד מוצר]],טבלה34[הזמנה])</f>
        <v>0</v>
      </c>
      <c r="U42" s="655">
        <f>SUMIF(טבלה35[עמודה1],טבלה38[[#This Row],[קוד מוצר]],טבלה35[הזמנה])</f>
        <v>0</v>
      </c>
      <c r="V42" s="655">
        <f>SUMIF(טבלה3338[מק"ט],טבלה38[[#This Row],[קוד מוצר]],טבלה3338[הזמנה])</f>
        <v>0</v>
      </c>
      <c r="W42" s="655">
        <f>SUMIF(טבלה3540[עמודה1],טבלה38[[#This Row],[קוד מוצר]],טבלה3540[הזמנה])</f>
        <v>0</v>
      </c>
      <c r="X42" s="655">
        <f>SUMIF(טבלה3441[עמודה1],טבלה38[[#This Row],[קוד מוצר]],טבלה3441[הזמנה])</f>
        <v>0</v>
      </c>
      <c r="Y42" s="655">
        <f>SUMIF(טבלה24[מקט],טבלה38[[#This Row],[קוד מוצר]],טבלה24[כמות])</f>
        <v>0</v>
      </c>
      <c r="Z42" s="655">
        <f>SUMIF(טבלה628[קוד מוצר],טבלה38[[#This Row],[קוד מוצר]],טבלה628[תוספת])</f>
        <v>0</v>
      </c>
      <c r="AA42" s="610">
        <f>טבלה38[[#This Row],[פימת קפה]]*טבלה38[[#This Row],[מחיר ליח'' כולל ]]</f>
        <v>0</v>
      </c>
      <c r="AB42" s="610">
        <f>טבלה38[[#This Row],[פת שחרית]]*טבלה38[[#This Row],[מחיר ליח'' כולל ]]</f>
        <v>0</v>
      </c>
      <c r="AC42" s="610">
        <f>טבלה38[[#This Row],[א. בוקר פריסה]]*טבלה38[[#This Row],[מחיר ליח'' כולל ]]</f>
        <v>0</v>
      </c>
      <c r="AD42" s="666">
        <f>טבלה38[[#This Row],[א. צהררים פריסה ]]*טבלה38[[#This Row],[מחיר ליח'' כולל ]]</f>
        <v>0</v>
      </c>
      <c r="AE42" s="666">
        <f>טבלה38[[#This Row],[בוקר קיטים]]*טבלה38[[#This Row],[מחיר ליח'' כולל ]]</f>
        <v>0</v>
      </c>
      <c r="AF42" s="666">
        <f>טבלה38[[#This Row],[צהריים קיטים]]*טבלה38[[#This Row],[מחיר ליח'' כולל ]]</f>
        <v>0</v>
      </c>
      <c r="AG42" s="666">
        <f>טבלה38[[#This Row],[פריסת אמצע]]*טבלה38[[#This Row],[מחיר ליח'' כולל ]]</f>
        <v>0</v>
      </c>
      <c r="AH42" s="666">
        <f>טבלה38[[#This Row],[מרק]]*טבלה38[[#This Row],[מחיר ליח'' כולל ]]</f>
        <v>0</v>
      </c>
      <c r="AI42" s="666">
        <f>טבלה38[[#This Row],[ערב בישול 1]]*טבלה38[[#This Row],[מחיר ליח'' כולל ]]</f>
        <v>0</v>
      </c>
      <c r="AJ42" s="666">
        <f>טבלה38[[#This Row],[ערב בישול 2]]*טבלה38[[#This Row],[מחיר ליח'' כולל ]]</f>
        <v>0</v>
      </c>
      <c r="AK42" s="666">
        <f>טבלה38[[#This Row],[ערב בישול 3]]*טבלה38[[#This Row],[מחיר ליח'' כולל ]]</f>
        <v>0</v>
      </c>
      <c r="AL42" s="666">
        <f>טבלה38[[#This Row],[ערב קטן 1]]*טבלה38[[#This Row],[מחיר ליח'' כולל ]]</f>
        <v>0</v>
      </c>
      <c r="AM42" s="666">
        <f>טבלה38[[#This Row],[ערב קטן 2]]*טבלה38[[#This Row],[מחיר ליח'' כולל ]]</f>
        <v>0</v>
      </c>
      <c r="AN42" s="666">
        <f>טבלה38[[#This Row],[ערב קטן 3]]*טבלה38[[#This Row],[מחיר ליח'' כולל ]]</f>
        <v>0</v>
      </c>
      <c r="AO42" s="666">
        <f>טבלה38[[#This Row],[קיטים מיוחדים]]*טבלה38[[#This Row],[מחיר ליח'' כולל ]]</f>
        <v>0</v>
      </c>
      <c r="AP42" s="666">
        <f>טבלה38[[#This Row],[תוספות]]*טבלה38[[#This Row],[מחיר ליח'' כולל ]]</f>
        <v>0</v>
      </c>
    </row>
    <row r="43" spans="2:42" ht="14.4">
      <c r="B43" s="651">
        <v>2647</v>
      </c>
      <c r="C43" s="650" t="s">
        <v>939</v>
      </c>
      <c r="D43" s="650" t="s">
        <v>602</v>
      </c>
      <c r="E43" s="650"/>
      <c r="F43" s="649" t="str">
        <f>IF(טבלה38[[#This Row],[סה"כ]]&gt;0,טבלה38[[#This Row],[סה"כ]],"")</f>
        <v/>
      </c>
      <c r="G43" s="656">
        <v>0.17</v>
      </c>
      <c r="H43" s="655">
        <f>טבלה38[[#This Row],[מחיר]]+טבלה38[[#This Row],[% מע"מ]]*טבלה38[[#This Row],[מחיר]]</f>
        <v>0</v>
      </c>
      <c r="I43" s="630">
        <f>טבלה38[[#This Row],[סה"כ]]*טבלה38[[#This Row],[מחיר ליח'' כולל ]]</f>
        <v>0</v>
      </c>
      <c r="J43" s="655">
        <f>SUM(טבלה38[[#This Row],[פימת קפה]:[תוספות]])</f>
        <v>0</v>
      </c>
      <c r="K43" s="655">
        <f>SUMIF(טבלה11517[מקט],טבלה38[[#This Row],[קוד מוצר]],טבלה11517[כמות])</f>
        <v>0</v>
      </c>
      <c r="L43" s="655">
        <f>SUMIF(טבלה115179[מקט],טבלה38[[#This Row],[קוד מוצר]],טבלה115179[כמות])</f>
        <v>0</v>
      </c>
      <c r="M43" s="655">
        <f>SUMIF(טבלה115[מקט],טבלה38[[#This Row],[קוד מוצר]],טבלה115[כמות])</f>
        <v>0</v>
      </c>
      <c r="N43" s="655">
        <f>SUMIF(טבלה1[מק"ט],טבלה38[[#This Row],[קוד מוצר]],טבלה1[כמות])</f>
        <v>0</v>
      </c>
      <c r="O43" s="655">
        <f>SUMIF(טבלה8[מק"ט],טבלה38[[#This Row],[קוד מוצר]],טבלה8[הזמנה])</f>
        <v>0</v>
      </c>
      <c r="P43" s="655">
        <f>SUMIF(טבלה15[מק"ט],טבלה38[[#This Row],[קוד מוצר]],טבלה15[הזמנה])</f>
        <v>0</v>
      </c>
      <c r="Q43" s="655">
        <f>SUMIF(טבלה1151718[מקט],טבלה38[[#This Row],[קוד מוצר]],טבלה1151718[כמות])</f>
        <v>0</v>
      </c>
      <c r="R43" s="655">
        <f>SUMIF(טבלה125[מקט],טבלה38[[#This Row],[קוד מוצר]],טבלה125[כמות])</f>
        <v>0</v>
      </c>
      <c r="S43" s="655">
        <f>SUMIF(טבלה33[מק"ט],טבלה38[[#This Row],[קוד מוצר]],טבלה33[הזמנה])</f>
        <v>0</v>
      </c>
      <c r="T43" s="655">
        <f>SUMIF(טבלה34[עמודה1],טבלה38[[#This Row],[קוד מוצר]],טבלה34[הזמנה])</f>
        <v>0</v>
      </c>
      <c r="U43" s="655">
        <f>SUMIF(טבלה35[עמודה1],טבלה38[[#This Row],[קוד מוצר]],טבלה35[הזמנה])</f>
        <v>0</v>
      </c>
      <c r="V43" s="655">
        <f>SUMIF(טבלה3338[מק"ט],טבלה38[[#This Row],[קוד מוצר]],טבלה3338[הזמנה])</f>
        <v>0</v>
      </c>
      <c r="W43" s="655">
        <f>SUMIF(טבלה3540[עמודה1],טבלה38[[#This Row],[קוד מוצר]],טבלה3540[הזמנה])</f>
        <v>0</v>
      </c>
      <c r="X43" s="655">
        <f>SUMIF(טבלה3441[עמודה1],טבלה38[[#This Row],[קוד מוצר]],טבלה3441[הזמנה])</f>
        <v>0</v>
      </c>
      <c r="Y43" s="655">
        <f>SUMIF(טבלה24[מקט],טבלה38[[#This Row],[קוד מוצר]],טבלה24[כמות])</f>
        <v>0</v>
      </c>
      <c r="Z43" s="655">
        <f>SUMIF(טבלה628[קוד מוצר],טבלה38[[#This Row],[קוד מוצר]],טבלה628[תוספת])</f>
        <v>0</v>
      </c>
      <c r="AA43" s="610">
        <f>טבלה38[[#This Row],[פימת קפה]]*טבלה38[[#This Row],[מחיר ליח'' כולל ]]</f>
        <v>0</v>
      </c>
      <c r="AB43" s="610">
        <f>טבלה38[[#This Row],[פת שחרית]]*טבלה38[[#This Row],[מחיר ליח'' כולל ]]</f>
        <v>0</v>
      </c>
      <c r="AC43" s="610">
        <f>טבלה38[[#This Row],[א. בוקר פריסה]]*טבלה38[[#This Row],[מחיר ליח'' כולל ]]</f>
        <v>0</v>
      </c>
      <c r="AD43" s="666">
        <f>טבלה38[[#This Row],[א. צהררים פריסה ]]*טבלה38[[#This Row],[מחיר ליח'' כולל ]]</f>
        <v>0</v>
      </c>
      <c r="AE43" s="666">
        <f>טבלה38[[#This Row],[בוקר קיטים]]*טבלה38[[#This Row],[מחיר ליח'' כולל ]]</f>
        <v>0</v>
      </c>
      <c r="AF43" s="666">
        <f>טבלה38[[#This Row],[צהריים קיטים]]*טבלה38[[#This Row],[מחיר ליח'' כולל ]]</f>
        <v>0</v>
      </c>
      <c r="AG43" s="666">
        <f>טבלה38[[#This Row],[פריסת אמצע]]*טבלה38[[#This Row],[מחיר ליח'' כולל ]]</f>
        <v>0</v>
      </c>
      <c r="AH43" s="666">
        <f>טבלה38[[#This Row],[מרק]]*טבלה38[[#This Row],[מחיר ליח'' כולל ]]</f>
        <v>0</v>
      </c>
      <c r="AI43" s="666">
        <f>טבלה38[[#This Row],[ערב בישול 1]]*טבלה38[[#This Row],[מחיר ליח'' כולל ]]</f>
        <v>0</v>
      </c>
      <c r="AJ43" s="666">
        <f>טבלה38[[#This Row],[ערב בישול 2]]*טבלה38[[#This Row],[מחיר ליח'' כולל ]]</f>
        <v>0</v>
      </c>
      <c r="AK43" s="666">
        <f>טבלה38[[#This Row],[ערב בישול 3]]*טבלה38[[#This Row],[מחיר ליח'' כולל ]]</f>
        <v>0</v>
      </c>
      <c r="AL43" s="666">
        <f>טבלה38[[#This Row],[ערב קטן 1]]*טבלה38[[#This Row],[מחיר ליח'' כולל ]]</f>
        <v>0</v>
      </c>
      <c r="AM43" s="666">
        <f>טבלה38[[#This Row],[ערב קטן 2]]*טבלה38[[#This Row],[מחיר ליח'' כולל ]]</f>
        <v>0</v>
      </c>
      <c r="AN43" s="666">
        <f>טבלה38[[#This Row],[ערב קטן 3]]*טבלה38[[#This Row],[מחיר ליח'' כולל ]]</f>
        <v>0</v>
      </c>
      <c r="AO43" s="666">
        <f>טבלה38[[#This Row],[קיטים מיוחדים]]*טבלה38[[#This Row],[מחיר ליח'' כולל ]]</f>
        <v>0</v>
      </c>
      <c r="AP43" s="666">
        <f>טבלה38[[#This Row],[תוספות]]*טבלה38[[#This Row],[מחיר ליח'' כולל ]]</f>
        <v>0</v>
      </c>
    </row>
    <row r="44" spans="2:42" ht="14.4">
      <c r="B44" s="651">
        <v>2648</v>
      </c>
      <c r="C44" s="650" t="s">
        <v>938</v>
      </c>
      <c r="D44" s="650" t="s">
        <v>602</v>
      </c>
      <c r="E44" s="650"/>
      <c r="F44" s="649" t="str">
        <f>IF(טבלה38[[#This Row],[סה"כ]]&gt;0,טבלה38[[#This Row],[סה"כ]],"")</f>
        <v/>
      </c>
      <c r="G44" s="656">
        <v>0.17</v>
      </c>
      <c r="H44" s="655">
        <f>טבלה38[[#This Row],[מחיר]]+טבלה38[[#This Row],[% מע"מ]]*טבלה38[[#This Row],[מחיר]]</f>
        <v>0</v>
      </c>
      <c r="I44" s="630">
        <f>טבלה38[[#This Row],[סה"כ]]*טבלה38[[#This Row],[מחיר ליח'' כולל ]]</f>
        <v>0</v>
      </c>
      <c r="J44" s="655">
        <f>SUM(טבלה38[[#This Row],[פימת קפה]:[תוספות]])</f>
        <v>0</v>
      </c>
      <c r="K44" s="655">
        <f>SUMIF(טבלה11517[מקט],טבלה38[[#This Row],[קוד מוצר]],טבלה11517[כמות])</f>
        <v>0</v>
      </c>
      <c r="L44" s="655">
        <f>SUMIF(טבלה115179[מקט],טבלה38[[#This Row],[קוד מוצר]],טבלה115179[כמות])</f>
        <v>0</v>
      </c>
      <c r="M44" s="655">
        <f>SUMIF(טבלה115[מקט],טבלה38[[#This Row],[קוד מוצר]],טבלה115[כמות])</f>
        <v>0</v>
      </c>
      <c r="N44" s="655">
        <f>SUMIF(טבלה1[מק"ט],טבלה38[[#This Row],[קוד מוצר]],טבלה1[כמות])</f>
        <v>0</v>
      </c>
      <c r="O44" s="655">
        <f>SUMIF(טבלה8[מק"ט],טבלה38[[#This Row],[קוד מוצר]],טבלה8[הזמנה])</f>
        <v>0</v>
      </c>
      <c r="P44" s="655">
        <f>SUMIF(טבלה15[מק"ט],טבלה38[[#This Row],[קוד מוצר]],טבלה15[הזמנה])</f>
        <v>0</v>
      </c>
      <c r="Q44" s="655">
        <f>SUMIF(טבלה1151718[מקט],טבלה38[[#This Row],[קוד מוצר]],טבלה1151718[כמות])</f>
        <v>0</v>
      </c>
      <c r="R44" s="655">
        <f>SUMIF(טבלה125[מקט],טבלה38[[#This Row],[קוד מוצר]],טבלה125[כמות])</f>
        <v>0</v>
      </c>
      <c r="S44" s="655">
        <f>SUMIF(טבלה33[מק"ט],טבלה38[[#This Row],[קוד מוצר]],טבלה33[הזמנה])</f>
        <v>0</v>
      </c>
      <c r="T44" s="655">
        <f>SUMIF(טבלה34[עמודה1],טבלה38[[#This Row],[קוד מוצר]],טבלה34[הזמנה])</f>
        <v>0</v>
      </c>
      <c r="U44" s="655">
        <f>SUMIF(טבלה35[עמודה1],טבלה38[[#This Row],[קוד מוצר]],טבלה35[הזמנה])</f>
        <v>0</v>
      </c>
      <c r="V44" s="655">
        <f>SUMIF(טבלה3338[מק"ט],טבלה38[[#This Row],[קוד מוצר]],טבלה3338[הזמנה])</f>
        <v>0</v>
      </c>
      <c r="W44" s="655">
        <f>SUMIF(טבלה3540[עמודה1],טבלה38[[#This Row],[קוד מוצר]],טבלה3540[הזמנה])</f>
        <v>0</v>
      </c>
      <c r="X44" s="655">
        <f>SUMIF(טבלה3441[עמודה1],טבלה38[[#This Row],[קוד מוצר]],טבלה3441[הזמנה])</f>
        <v>0</v>
      </c>
      <c r="Y44" s="655">
        <f>SUMIF(טבלה24[מקט],טבלה38[[#This Row],[קוד מוצר]],טבלה24[כמות])</f>
        <v>0</v>
      </c>
      <c r="Z44" s="655">
        <f>SUMIF(טבלה628[קוד מוצר],טבלה38[[#This Row],[קוד מוצר]],טבלה628[תוספת])</f>
        <v>0</v>
      </c>
      <c r="AA44" s="610">
        <f>טבלה38[[#This Row],[פימת קפה]]*טבלה38[[#This Row],[מחיר ליח'' כולל ]]</f>
        <v>0</v>
      </c>
      <c r="AB44" s="610">
        <f>טבלה38[[#This Row],[פת שחרית]]*טבלה38[[#This Row],[מחיר ליח'' כולל ]]</f>
        <v>0</v>
      </c>
      <c r="AC44" s="610">
        <f>טבלה38[[#This Row],[א. בוקר פריסה]]*טבלה38[[#This Row],[מחיר ליח'' כולל ]]</f>
        <v>0</v>
      </c>
      <c r="AD44" s="666">
        <f>טבלה38[[#This Row],[א. צהררים פריסה ]]*טבלה38[[#This Row],[מחיר ליח'' כולל ]]</f>
        <v>0</v>
      </c>
      <c r="AE44" s="666">
        <f>טבלה38[[#This Row],[בוקר קיטים]]*טבלה38[[#This Row],[מחיר ליח'' כולל ]]</f>
        <v>0</v>
      </c>
      <c r="AF44" s="666">
        <f>טבלה38[[#This Row],[צהריים קיטים]]*טבלה38[[#This Row],[מחיר ליח'' כולל ]]</f>
        <v>0</v>
      </c>
      <c r="AG44" s="666">
        <f>טבלה38[[#This Row],[פריסת אמצע]]*טבלה38[[#This Row],[מחיר ליח'' כולל ]]</f>
        <v>0</v>
      </c>
      <c r="AH44" s="666">
        <f>טבלה38[[#This Row],[מרק]]*טבלה38[[#This Row],[מחיר ליח'' כולל ]]</f>
        <v>0</v>
      </c>
      <c r="AI44" s="666">
        <f>טבלה38[[#This Row],[ערב בישול 1]]*טבלה38[[#This Row],[מחיר ליח'' כולל ]]</f>
        <v>0</v>
      </c>
      <c r="AJ44" s="666">
        <f>טבלה38[[#This Row],[ערב בישול 2]]*טבלה38[[#This Row],[מחיר ליח'' כולל ]]</f>
        <v>0</v>
      </c>
      <c r="AK44" s="666">
        <f>טבלה38[[#This Row],[ערב בישול 3]]*טבלה38[[#This Row],[מחיר ליח'' כולל ]]</f>
        <v>0</v>
      </c>
      <c r="AL44" s="666">
        <f>טבלה38[[#This Row],[ערב קטן 1]]*טבלה38[[#This Row],[מחיר ליח'' כולל ]]</f>
        <v>0</v>
      </c>
      <c r="AM44" s="666">
        <f>טבלה38[[#This Row],[ערב קטן 2]]*טבלה38[[#This Row],[מחיר ליח'' כולל ]]</f>
        <v>0</v>
      </c>
      <c r="AN44" s="666">
        <f>טבלה38[[#This Row],[ערב קטן 3]]*טבלה38[[#This Row],[מחיר ליח'' כולל ]]</f>
        <v>0</v>
      </c>
      <c r="AO44" s="666">
        <f>טבלה38[[#This Row],[קיטים מיוחדים]]*טבלה38[[#This Row],[מחיר ליח'' כולל ]]</f>
        <v>0</v>
      </c>
      <c r="AP44" s="666">
        <f>טבלה38[[#This Row],[תוספות]]*טבלה38[[#This Row],[מחיר ליח'' כולל ]]</f>
        <v>0</v>
      </c>
    </row>
    <row r="45" spans="2:42" ht="14.4">
      <c r="B45" s="651">
        <v>6966</v>
      </c>
      <c r="C45" s="650" t="s">
        <v>1135</v>
      </c>
      <c r="D45" s="650" t="s">
        <v>602</v>
      </c>
      <c r="E45" s="650"/>
      <c r="F45" s="649" t="str">
        <f>IF(טבלה38[[#This Row],[סה"כ]]&gt;0,טבלה38[[#This Row],[סה"כ]],"")</f>
        <v/>
      </c>
      <c r="G45" s="656">
        <v>0.17</v>
      </c>
      <c r="H45" s="655">
        <f>טבלה38[[#This Row],[מחיר]]+טבלה38[[#This Row],[% מע"מ]]*טבלה38[[#This Row],[מחיר]]</f>
        <v>0</v>
      </c>
      <c r="I45" s="630">
        <f>טבלה38[[#This Row],[סה"כ]]*טבלה38[[#This Row],[מחיר ליח'' כולל ]]</f>
        <v>0</v>
      </c>
      <c r="J45" s="655">
        <f>SUM(טבלה38[[#This Row],[פימת קפה]:[תוספות]])</f>
        <v>0</v>
      </c>
      <c r="K45" s="655">
        <f>SUMIF(טבלה11517[מקט],טבלה38[[#This Row],[קוד מוצר]],טבלה11517[כמות])</f>
        <v>0</v>
      </c>
      <c r="L45" s="655">
        <f>SUMIF(טבלה115179[מקט],טבלה38[[#This Row],[קוד מוצר]],טבלה115179[כמות])</f>
        <v>0</v>
      </c>
      <c r="M45" s="655">
        <f>SUMIF(טבלה115[מקט],טבלה38[[#This Row],[קוד מוצר]],טבלה115[כמות])</f>
        <v>0</v>
      </c>
      <c r="N45" s="655">
        <f>SUMIF(טבלה1[מק"ט],טבלה38[[#This Row],[קוד מוצר]],טבלה1[כמות])</f>
        <v>0</v>
      </c>
      <c r="O45" s="655">
        <f>SUMIF(טבלה8[מק"ט],טבלה38[[#This Row],[קוד מוצר]],טבלה8[הזמנה])</f>
        <v>0</v>
      </c>
      <c r="P45" s="655">
        <f>SUMIF(טבלה15[מק"ט],טבלה38[[#This Row],[קוד מוצר]],טבלה15[הזמנה])</f>
        <v>0</v>
      </c>
      <c r="Q45" s="655">
        <f>SUMIF(טבלה1151718[מקט],טבלה38[[#This Row],[קוד מוצר]],טבלה1151718[כמות])</f>
        <v>0</v>
      </c>
      <c r="R45" s="655">
        <f>SUMIF(טבלה125[מקט],טבלה38[[#This Row],[קוד מוצר]],טבלה125[כמות])</f>
        <v>0</v>
      </c>
      <c r="S45" s="655">
        <f>SUMIF(טבלה33[מק"ט],טבלה38[[#This Row],[קוד מוצר]],טבלה33[הזמנה])</f>
        <v>0</v>
      </c>
      <c r="T45" s="655">
        <f>SUMIF(טבלה34[עמודה1],טבלה38[[#This Row],[קוד מוצר]],טבלה34[הזמנה])</f>
        <v>0</v>
      </c>
      <c r="U45" s="655">
        <f>SUMIF(טבלה35[עמודה1],טבלה38[[#This Row],[קוד מוצר]],טבלה35[הזמנה])</f>
        <v>0</v>
      </c>
      <c r="V45" s="655">
        <f>SUMIF(טבלה3338[מק"ט],טבלה38[[#This Row],[קוד מוצר]],טבלה3338[הזמנה])</f>
        <v>0</v>
      </c>
      <c r="W45" s="655">
        <f>SUMIF(טבלה3540[עמודה1],טבלה38[[#This Row],[קוד מוצר]],טבלה3540[הזמנה])</f>
        <v>0</v>
      </c>
      <c r="X45" s="655">
        <f>SUMIF(טבלה3441[עמודה1],טבלה38[[#This Row],[קוד מוצר]],טבלה3441[הזמנה])</f>
        <v>0</v>
      </c>
      <c r="Y45" s="655">
        <f>SUMIF(טבלה24[מקט],טבלה38[[#This Row],[קוד מוצר]],טבלה24[כמות])</f>
        <v>0</v>
      </c>
      <c r="Z45" s="655">
        <f>SUMIF(טבלה628[קוד מוצר],טבלה38[[#This Row],[קוד מוצר]],טבלה628[תוספת])</f>
        <v>0</v>
      </c>
      <c r="AA45" s="610">
        <f>טבלה38[[#This Row],[פימת קפה]]*טבלה38[[#This Row],[מחיר ליח'' כולל ]]</f>
        <v>0</v>
      </c>
      <c r="AB45" s="610">
        <f>טבלה38[[#This Row],[פת שחרית]]*טבלה38[[#This Row],[מחיר ליח'' כולל ]]</f>
        <v>0</v>
      </c>
      <c r="AC45" s="610">
        <f>טבלה38[[#This Row],[א. בוקר פריסה]]*טבלה38[[#This Row],[מחיר ליח'' כולל ]]</f>
        <v>0</v>
      </c>
      <c r="AD45" s="666">
        <f>טבלה38[[#This Row],[א. צהררים פריסה ]]*טבלה38[[#This Row],[מחיר ליח'' כולל ]]</f>
        <v>0</v>
      </c>
      <c r="AE45" s="666">
        <f>טבלה38[[#This Row],[בוקר קיטים]]*טבלה38[[#This Row],[מחיר ליח'' כולל ]]</f>
        <v>0</v>
      </c>
      <c r="AF45" s="666">
        <f>טבלה38[[#This Row],[צהריים קיטים]]*טבלה38[[#This Row],[מחיר ליח'' כולל ]]</f>
        <v>0</v>
      </c>
      <c r="AG45" s="666">
        <f>טבלה38[[#This Row],[פריסת אמצע]]*טבלה38[[#This Row],[מחיר ליח'' כולל ]]</f>
        <v>0</v>
      </c>
      <c r="AH45" s="666">
        <f>טבלה38[[#This Row],[מרק]]*טבלה38[[#This Row],[מחיר ליח'' כולל ]]</f>
        <v>0</v>
      </c>
      <c r="AI45" s="666">
        <f>טבלה38[[#This Row],[ערב בישול 1]]*טבלה38[[#This Row],[מחיר ליח'' כולל ]]</f>
        <v>0</v>
      </c>
      <c r="AJ45" s="666">
        <f>טבלה38[[#This Row],[ערב בישול 2]]*טבלה38[[#This Row],[מחיר ליח'' כולל ]]</f>
        <v>0</v>
      </c>
      <c r="AK45" s="666">
        <f>טבלה38[[#This Row],[ערב בישול 3]]*טבלה38[[#This Row],[מחיר ליח'' כולל ]]</f>
        <v>0</v>
      </c>
      <c r="AL45" s="666">
        <f>טבלה38[[#This Row],[ערב קטן 1]]*טבלה38[[#This Row],[מחיר ליח'' כולל ]]</f>
        <v>0</v>
      </c>
      <c r="AM45" s="666">
        <f>טבלה38[[#This Row],[ערב קטן 2]]*טבלה38[[#This Row],[מחיר ליח'' כולל ]]</f>
        <v>0</v>
      </c>
      <c r="AN45" s="666">
        <f>טבלה38[[#This Row],[ערב קטן 3]]*טבלה38[[#This Row],[מחיר ליח'' כולל ]]</f>
        <v>0</v>
      </c>
      <c r="AO45" s="666">
        <f>טבלה38[[#This Row],[קיטים מיוחדים]]*טבלה38[[#This Row],[מחיר ליח'' כולל ]]</f>
        <v>0</v>
      </c>
      <c r="AP45" s="666">
        <f>טבלה38[[#This Row],[תוספות]]*טבלה38[[#This Row],[מחיר ליח'' כולל ]]</f>
        <v>0</v>
      </c>
    </row>
    <row r="46" spans="2:42" ht="15.6">
      <c r="B46" s="651">
        <v>8781</v>
      </c>
      <c r="C46" s="650" t="s">
        <v>1038</v>
      </c>
      <c r="D46" s="650" t="s">
        <v>602</v>
      </c>
      <c r="E46" s="650"/>
      <c r="F46" s="674" t="str">
        <f>IF(טבלה38[[#This Row],[סה"כ]]&gt;0,טבלה38[[#This Row],[סה"כ]],"")</f>
        <v/>
      </c>
      <c r="G46" s="656">
        <v>0.17</v>
      </c>
      <c r="H46" s="655">
        <f>טבלה38[[#This Row],[מחיר]]+טבלה38[[#This Row],[% מע"מ]]*טבלה38[[#This Row],[מחיר]]</f>
        <v>0</v>
      </c>
      <c r="I46" s="630">
        <f>טבלה38[[#This Row],[סה"כ]]*טבלה38[[#This Row],[מחיר ליח'' כולל ]]</f>
        <v>0</v>
      </c>
      <c r="J46" s="655">
        <f>SUM(טבלה38[[#This Row],[פימת קפה]:[תוספות]])</f>
        <v>0</v>
      </c>
      <c r="K46" s="655">
        <f>SUMIF(טבלה11517[מקט],טבלה38[[#This Row],[קוד מוצר]],טבלה11517[כמות])</f>
        <v>0</v>
      </c>
      <c r="L46" s="655">
        <f>SUMIF(טבלה115179[מקט],טבלה38[[#This Row],[קוד מוצר]],טבלה115179[כמות])</f>
        <v>0</v>
      </c>
      <c r="M46" s="655">
        <f>SUMIF(טבלה115[מקט],טבלה38[[#This Row],[קוד מוצר]],טבלה115[כמות])</f>
        <v>0</v>
      </c>
      <c r="N46" s="655">
        <f>SUMIF(טבלה1[מק"ט],טבלה38[[#This Row],[קוד מוצר]],טבלה1[כמות])</f>
        <v>0</v>
      </c>
      <c r="O46" s="655">
        <f>SUMIF(טבלה8[מק"ט],טבלה38[[#This Row],[קוד מוצר]],טבלה8[הזמנה])</f>
        <v>0</v>
      </c>
      <c r="P46" s="655">
        <f>SUMIF(טבלה15[מק"ט],טבלה38[[#This Row],[קוד מוצר]],טבלה15[הזמנה])</f>
        <v>0</v>
      </c>
      <c r="Q46" s="655">
        <f>SUMIF(טבלה1151718[מקט],טבלה38[[#This Row],[קוד מוצר]],טבלה1151718[כמות])</f>
        <v>0</v>
      </c>
      <c r="R46" s="655">
        <f>SUMIF(טבלה125[מקט],טבלה38[[#This Row],[קוד מוצר]],טבלה125[כמות])</f>
        <v>0</v>
      </c>
      <c r="S46" s="655">
        <f>SUMIF(טבלה33[מק"ט],טבלה38[[#This Row],[קוד מוצר]],טבלה33[הזמנה])</f>
        <v>0</v>
      </c>
      <c r="T46" s="655">
        <f>SUMIF(טבלה34[עמודה1],טבלה38[[#This Row],[קוד מוצר]],טבלה34[הזמנה])</f>
        <v>0</v>
      </c>
      <c r="U46" s="655">
        <f>SUMIF(טבלה35[עמודה1],טבלה38[[#This Row],[קוד מוצר]],טבלה35[הזמנה])</f>
        <v>0</v>
      </c>
      <c r="V46" s="655">
        <f>SUMIF(טבלה3338[מק"ט],טבלה38[[#This Row],[קוד מוצר]],טבלה3338[הזמנה])</f>
        <v>0</v>
      </c>
      <c r="W46" s="655">
        <f>SUMIF(טבלה3540[עמודה1],טבלה38[[#This Row],[קוד מוצר]],טבלה3540[הזמנה])</f>
        <v>0</v>
      </c>
      <c r="X46" s="655">
        <f>SUMIF(טבלה3441[עמודה1],טבלה38[[#This Row],[קוד מוצר]],טבלה3441[הזמנה])</f>
        <v>0</v>
      </c>
      <c r="Y46" s="655">
        <f>SUMIF(טבלה24[מקט],טבלה38[[#This Row],[קוד מוצר]],טבלה24[כמות])</f>
        <v>0</v>
      </c>
      <c r="Z46" s="655">
        <f>SUMIF(טבלה628[קוד מוצר],טבלה38[[#This Row],[קוד מוצר]],טבלה628[תוספת])</f>
        <v>0</v>
      </c>
      <c r="AA46" s="610">
        <f>טבלה38[[#This Row],[פימת קפה]]*טבלה38[[#This Row],[מחיר ליח'' כולל ]]</f>
        <v>0</v>
      </c>
      <c r="AB46" s="610">
        <f>טבלה38[[#This Row],[פת שחרית]]*טבלה38[[#This Row],[מחיר ליח'' כולל ]]</f>
        <v>0</v>
      </c>
      <c r="AC46" s="610">
        <f>טבלה38[[#This Row],[א. בוקר פריסה]]*טבלה38[[#This Row],[מחיר ליח'' כולל ]]</f>
        <v>0</v>
      </c>
      <c r="AD46" s="666">
        <f>טבלה38[[#This Row],[א. צהררים פריסה ]]*טבלה38[[#This Row],[מחיר ליח'' כולל ]]</f>
        <v>0</v>
      </c>
      <c r="AE46" s="666">
        <f>טבלה38[[#This Row],[בוקר קיטים]]*טבלה38[[#This Row],[מחיר ליח'' כולל ]]</f>
        <v>0</v>
      </c>
      <c r="AF46" s="666">
        <f>טבלה38[[#This Row],[צהריים קיטים]]*טבלה38[[#This Row],[מחיר ליח'' כולל ]]</f>
        <v>0</v>
      </c>
      <c r="AG46" s="666">
        <f>טבלה38[[#This Row],[פריסת אמצע]]*טבלה38[[#This Row],[מחיר ליח'' כולל ]]</f>
        <v>0</v>
      </c>
      <c r="AH46" s="666">
        <f>טבלה38[[#This Row],[מרק]]*טבלה38[[#This Row],[מחיר ליח'' כולל ]]</f>
        <v>0</v>
      </c>
      <c r="AI46" s="666">
        <f>טבלה38[[#This Row],[ערב בישול 1]]*טבלה38[[#This Row],[מחיר ליח'' כולל ]]</f>
        <v>0</v>
      </c>
      <c r="AJ46" s="666">
        <f>טבלה38[[#This Row],[ערב בישול 2]]*טבלה38[[#This Row],[מחיר ליח'' כולל ]]</f>
        <v>0</v>
      </c>
      <c r="AK46" s="666">
        <f>טבלה38[[#This Row],[ערב בישול 3]]*טבלה38[[#This Row],[מחיר ליח'' כולל ]]</f>
        <v>0</v>
      </c>
      <c r="AL46" s="666">
        <f>טבלה38[[#This Row],[ערב קטן 1]]*טבלה38[[#This Row],[מחיר ליח'' כולל ]]</f>
        <v>0</v>
      </c>
      <c r="AM46" s="666">
        <f>טבלה38[[#This Row],[ערב קטן 2]]*טבלה38[[#This Row],[מחיר ליח'' כולל ]]</f>
        <v>0</v>
      </c>
      <c r="AN46" s="666">
        <f>טבלה38[[#This Row],[ערב קטן 3]]*טבלה38[[#This Row],[מחיר ליח'' כולל ]]</f>
        <v>0</v>
      </c>
      <c r="AO46" s="666">
        <f>טבלה38[[#This Row],[קיטים מיוחדים]]*טבלה38[[#This Row],[מחיר ליח'' כולל ]]</f>
        <v>0</v>
      </c>
      <c r="AP46" s="666">
        <f>טבלה38[[#This Row],[תוספות]]*טבלה38[[#This Row],[מחיר ליח'' כולל ]]</f>
        <v>0</v>
      </c>
    </row>
    <row r="47" spans="2:42" ht="14.4">
      <c r="B47" s="651">
        <v>2481</v>
      </c>
      <c r="C47" s="650" t="s">
        <v>1164</v>
      </c>
      <c r="D47" s="650" t="s">
        <v>602</v>
      </c>
      <c r="E47" s="650"/>
      <c r="F47" s="649" t="str">
        <f>IF(טבלה38[[#This Row],[סה"כ]]&gt;0,טבלה38[[#This Row],[סה"כ]],"")</f>
        <v/>
      </c>
      <c r="G47" s="656">
        <v>0.17</v>
      </c>
      <c r="H47" s="655">
        <f>טבלה38[[#This Row],[מחיר]]+טבלה38[[#This Row],[% מע"מ]]*טבלה38[[#This Row],[מחיר]]</f>
        <v>0</v>
      </c>
      <c r="I47" s="630">
        <f>טבלה38[[#This Row],[סה"כ]]*טבלה38[[#This Row],[מחיר ליח'' כולל ]]</f>
        <v>0</v>
      </c>
      <c r="J47" s="655">
        <f>SUM(טבלה38[[#This Row],[פימת קפה]:[תוספות]])</f>
        <v>0</v>
      </c>
      <c r="K47" s="655">
        <f>SUMIF(טבלה11517[מקט],טבלה38[[#This Row],[קוד מוצר]],טבלה11517[כמות])</f>
        <v>0</v>
      </c>
      <c r="L47" s="655">
        <f>SUMIF(טבלה115179[מקט],טבלה38[[#This Row],[קוד מוצר]],טבלה115179[כמות])</f>
        <v>0</v>
      </c>
      <c r="M47" s="655">
        <f>SUMIF(טבלה115[מקט],טבלה38[[#This Row],[קוד מוצר]],טבלה115[כמות])</f>
        <v>0</v>
      </c>
      <c r="N47" s="655">
        <f>SUMIF(טבלה1[מק"ט],טבלה38[[#This Row],[קוד מוצר]],טבלה1[כמות])</f>
        <v>0</v>
      </c>
      <c r="O47" s="655">
        <f>SUMIF(טבלה8[מק"ט],טבלה38[[#This Row],[קוד מוצר]],טבלה8[הזמנה])</f>
        <v>0</v>
      </c>
      <c r="P47" s="655">
        <f>SUMIF(טבלה15[מק"ט],טבלה38[[#This Row],[קוד מוצר]],טבלה15[הזמנה])</f>
        <v>0</v>
      </c>
      <c r="Q47" s="655">
        <f>SUMIF(טבלה1151718[מקט],טבלה38[[#This Row],[קוד מוצר]],טבלה1151718[כמות])</f>
        <v>0</v>
      </c>
      <c r="R47" s="655">
        <f>SUMIF(טבלה125[מקט],טבלה38[[#This Row],[קוד מוצר]],טבלה125[כמות])</f>
        <v>0</v>
      </c>
      <c r="S47" s="655">
        <f>SUMIF(טבלה33[מק"ט],טבלה38[[#This Row],[קוד מוצר]],טבלה33[הזמנה])</f>
        <v>0</v>
      </c>
      <c r="T47" s="655">
        <f>SUMIF(טבלה34[עמודה1],טבלה38[[#This Row],[קוד מוצר]],טבלה34[הזמנה])</f>
        <v>0</v>
      </c>
      <c r="U47" s="655">
        <f>SUMIF(טבלה35[עמודה1],טבלה38[[#This Row],[קוד מוצר]],טבלה35[הזמנה])</f>
        <v>0</v>
      </c>
      <c r="V47" s="655">
        <f>SUMIF(טבלה3338[מק"ט],טבלה38[[#This Row],[קוד מוצר]],טבלה3338[הזמנה])</f>
        <v>0</v>
      </c>
      <c r="W47" s="655">
        <f>SUMIF(טבלה3540[עמודה1],טבלה38[[#This Row],[קוד מוצר]],טבלה3540[הזמנה])</f>
        <v>0</v>
      </c>
      <c r="X47" s="655">
        <f>SUMIF(טבלה3441[עמודה1],טבלה38[[#This Row],[קוד מוצר]],טבלה3441[הזמנה])</f>
        <v>0</v>
      </c>
      <c r="Y47" s="655">
        <f>SUMIF(טבלה24[מקט],טבלה38[[#This Row],[קוד מוצר]],טבלה24[כמות])</f>
        <v>0</v>
      </c>
      <c r="Z47" s="655">
        <f>SUMIF(טבלה628[קוד מוצר],טבלה38[[#This Row],[קוד מוצר]],טבלה628[תוספת])</f>
        <v>0</v>
      </c>
      <c r="AA47" s="610">
        <f>טבלה38[[#This Row],[פימת קפה]]*טבלה38[[#This Row],[מחיר ליח'' כולל ]]</f>
        <v>0</v>
      </c>
      <c r="AB47" s="610">
        <f>טבלה38[[#This Row],[פת שחרית]]*טבלה38[[#This Row],[מחיר ליח'' כולל ]]</f>
        <v>0</v>
      </c>
      <c r="AC47" s="610">
        <f>טבלה38[[#This Row],[א. בוקר פריסה]]*טבלה38[[#This Row],[מחיר ליח'' כולל ]]</f>
        <v>0</v>
      </c>
      <c r="AD47" s="666">
        <f>טבלה38[[#This Row],[א. צהררים פריסה ]]*טבלה38[[#This Row],[מחיר ליח'' כולל ]]</f>
        <v>0</v>
      </c>
      <c r="AE47" s="666">
        <f>טבלה38[[#This Row],[בוקר קיטים]]*טבלה38[[#This Row],[מחיר ליח'' כולל ]]</f>
        <v>0</v>
      </c>
      <c r="AF47" s="666">
        <f>טבלה38[[#This Row],[צהריים קיטים]]*טבלה38[[#This Row],[מחיר ליח'' כולל ]]</f>
        <v>0</v>
      </c>
      <c r="AG47" s="666">
        <f>טבלה38[[#This Row],[פריסת אמצע]]*טבלה38[[#This Row],[מחיר ליח'' כולל ]]</f>
        <v>0</v>
      </c>
      <c r="AH47" s="666">
        <f>טבלה38[[#This Row],[מרק]]*טבלה38[[#This Row],[מחיר ליח'' כולל ]]</f>
        <v>0</v>
      </c>
      <c r="AI47" s="666">
        <f>טבלה38[[#This Row],[ערב בישול 1]]*טבלה38[[#This Row],[מחיר ליח'' כולל ]]</f>
        <v>0</v>
      </c>
      <c r="AJ47" s="666">
        <f>טבלה38[[#This Row],[ערב בישול 2]]*טבלה38[[#This Row],[מחיר ליח'' כולל ]]</f>
        <v>0</v>
      </c>
      <c r="AK47" s="666">
        <f>טבלה38[[#This Row],[ערב בישול 3]]*טבלה38[[#This Row],[מחיר ליח'' כולל ]]</f>
        <v>0</v>
      </c>
      <c r="AL47" s="666">
        <f>טבלה38[[#This Row],[ערב קטן 1]]*טבלה38[[#This Row],[מחיר ליח'' כולל ]]</f>
        <v>0</v>
      </c>
      <c r="AM47" s="666">
        <f>טבלה38[[#This Row],[ערב קטן 2]]*טבלה38[[#This Row],[מחיר ליח'' כולל ]]</f>
        <v>0</v>
      </c>
      <c r="AN47" s="666">
        <f>טבלה38[[#This Row],[ערב קטן 3]]*טבלה38[[#This Row],[מחיר ליח'' כולל ]]</f>
        <v>0</v>
      </c>
      <c r="AO47" s="666">
        <f>טבלה38[[#This Row],[קיטים מיוחדים]]*טבלה38[[#This Row],[מחיר ליח'' כולל ]]</f>
        <v>0</v>
      </c>
      <c r="AP47" s="666">
        <f>טבלה38[[#This Row],[תוספות]]*טבלה38[[#This Row],[מחיר ליח'' כולל ]]</f>
        <v>0</v>
      </c>
    </row>
    <row r="48" spans="2:42" ht="14.4">
      <c r="B48" s="651">
        <v>599</v>
      </c>
      <c r="C48" s="650" t="s">
        <v>381</v>
      </c>
      <c r="D48" s="650" t="s">
        <v>602</v>
      </c>
      <c r="E48" s="650"/>
      <c r="F48" s="650" t="str">
        <f>IF(טבלה38[[#This Row],[סה"כ]]&gt;0,טבלה38[[#This Row],[סה"כ]],"")</f>
        <v/>
      </c>
      <c r="G48" s="656">
        <v>0</v>
      </c>
      <c r="H48" s="655">
        <f>טבלה38[[#This Row],[מחיר]]+טבלה38[[#This Row],[% מע"מ]]*טבלה38[[#This Row],[מחיר]]</f>
        <v>0</v>
      </c>
      <c r="I48" s="630">
        <f>טבלה38[[#This Row],[סה"כ]]*טבלה38[[#This Row],[מחיר ליח'' כולל ]]</f>
        <v>0</v>
      </c>
      <c r="J48" s="655">
        <f>SUM(טבלה38[[#This Row],[פימת קפה]:[תוספות]])</f>
        <v>0</v>
      </c>
      <c r="K48" s="655">
        <f>SUMIF(טבלה11517[מקט],טבלה38[[#This Row],[קוד מוצר]],טבלה11517[כמות])</f>
        <v>0</v>
      </c>
      <c r="L48" s="655">
        <f>SUMIF(טבלה115179[מקט],טבלה38[[#This Row],[קוד מוצר]],טבלה115179[כמות])</f>
        <v>0</v>
      </c>
      <c r="M48" s="655">
        <f>SUMIF(טבלה115[מקט],טבלה38[[#This Row],[קוד מוצר]],טבלה115[כמות])</f>
        <v>0</v>
      </c>
      <c r="N48" s="655">
        <f>SUMIF(טבלה1[מק"ט],טבלה38[[#This Row],[קוד מוצר]],טבלה1[כמות])</f>
        <v>0</v>
      </c>
      <c r="O48" s="655">
        <f>SUMIF(טבלה8[מק"ט],טבלה38[[#This Row],[קוד מוצר]],טבלה8[הזמנה])</f>
        <v>0</v>
      </c>
      <c r="P48" s="655">
        <f>SUMIF(טבלה15[מק"ט],טבלה38[[#This Row],[קוד מוצר]],טבלה15[הזמנה])</f>
        <v>0</v>
      </c>
      <c r="Q48" s="655">
        <f>SUMIF(טבלה1151718[מקט],טבלה38[[#This Row],[קוד מוצר]],טבלה1151718[כמות])</f>
        <v>0</v>
      </c>
      <c r="R48" s="655">
        <f>SUMIF(טבלה125[מקט],טבלה38[[#This Row],[קוד מוצר]],טבלה125[כמות])</f>
        <v>0</v>
      </c>
      <c r="S48" s="655">
        <f>SUMIF(טבלה33[מק"ט],טבלה38[[#This Row],[קוד מוצר]],טבלה33[הזמנה])</f>
        <v>0</v>
      </c>
      <c r="T48" s="655">
        <f>SUMIF(טבלה34[עמודה1],טבלה38[[#This Row],[קוד מוצר]],טבלה34[הזמנה])</f>
        <v>0</v>
      </c>
      <c r="U48" s="655">
        <f>SUMIF(טבלה35[עמודה1],טבלה38[[#This Row],[קוד מוצר]],טבלה35[הזמנה])</f>
        <v>0</v>
      </c>
      <c r="V48" s="655">
        <f>SUMIF(טבלה3338[מק"ט],טבלה38[[#This Row],[קוד מוצר]],טבלה3338[הזמנה])</f>
        <v>0</v>
      </c>
      <c r="W48" s="655">
        <f>SUMIF(טבלה3540[עמודה1],טבלה38[[#This Row],[קוד מוצר]],טבלה3540[הזמנה])</f>
        <v>0</v>
      </c>
      <c r="X48" s="655">
        <f>SUMIF(טבלה3441[עמודה1],טבלה38[[#This Row],[קוד מוצר]],טבלה3441[הזמנה])</f>
        <v>0</v>
      </c>
      <c r="Y48" s="655">
        <f>SUMIF(טבלה24[מקט],טבלה38[[#This Row],[קוד מוצר]],טבלה24[כמות])</f>
        <v>0</v>
      </c>
      <c r="Z48" s="655">
        <f>SUMIF(טבלה628[קוד מוצר],טבלה38[[#This Row],[קוד מוצר]],טבלה628[תוספת])</f>
        <v>0</v>
      </c>
      <c r="AA48" s="610">
        <f>טבלה38[[#This Row],[פימת קפה]]*טבלה38[[#This Row],[מחיר ליח'' כולל ]]</f>
        <v>0</v>
      </c>
      <c r="AB48" s="610">
        <f>טבלה38[[#This Row],[פת שחרית]]*טבלה38[[#This Row],[מחיר ליח'' כולל ]]</f>
        <v>0</v>
      </c>
      <c r="AC48" s="610">
        <f>טבלה38[[#This Row],[א. בוקר פריסה]]*טבלה38[[#This Row],[מחיר ליח'' כולל ]]</f>
        <v>0</v>
      </c>
      <c r="AD48" s="666">
        <f>טבלה38[[#This Row],[א. צהררים פריסה ]]*טבלה38[[#This Row],[מחיר ליח'' כולל ]]</f>
        <v>0</v>
      </c>
      <c r="AE48" s="666">
        <f>טבלה38[[#This Row],[בוקר קיטים]]*טבלה38[[#This Row],[מחיר ליח'' כולל ]]</f>
        <v>0</v>
      </c>
      <c r="AF48" s="666">
        <f>טבלה38[[#This Row],[צהריים קיטים]]*טבלה38[[#This Row],[מחיר ליח'' כולל ]]</f>
        <v>0</v>
      </c>
      <c r="AG48" s="666">
        <f>טבלה38[[#This Row],[פריסת אמצע]]*טבלה38[[#This Row],[מחיר ליח'' כולל ]]</f>
        <v>0</v>
      </c>
      <c r="AH48" s="666">
        <f>טבלה38[[#This Row],[מרק]]*טבלה38[[#This Row],[מחיר ליח'' כולל ]]</f>
        <v>0</v>
      </c>
      <c r="AI48" s="666">
        <f>טבלה38[[#This Row],[ערב בישול 1]]*טבלה38[[#This Row],[מחיר ליח'' כולל ]]</f>
        <v>0</v>
      </c>
      <c r="AJ48" s="666">
        <f>טבלה38[[#This Row],[ערב בישול 2]]*טבלה38[[#This Row],[מחיר ליח'' כולל ]]</f>
        <v>0</v>
      </c>
      <c r="AK48" s="666">
        <f>טבלה38[[#This Row],[ערב בישול 3]]*טבלה38[[#This Row],[מחיר ליח'' כולל ]]</f>
        <v>0</v>
      </c>
      <c r="AL48" s="666">
        <f>טבלה38[[#This Row],[ערב קטן 1]]*טבלה38[[#This Row],[מחיר ליח'' כולל ]]</f>
        <v>0</v>
      </c>
      <c r="AM48" s="666">
        <f>טבלה38[[#This Row],[ערב קטן 2]]*טבלה38[[#This Row],[מחיר ליח'' כולל ]]</f>
        <v>0</v>
      </c>
      <c r="AN48" s="666">
        <f>טבלה38[[#This Row],[ערב קטן 3]]*טבלה38[[#This Row],[מחיר ליח'' כולל ]]</f>
        <v>0</v>
      </c>
      <c r="AO48" s="666">
        <f>טבלה38[[#This Row],[קיטים מיוחדים]]*טבלה38[[#This Row],[מחיר ליח'' כולל ]]</f>
        <v>0</v>
      </c>
      <c r="AP48" s="666">
        <f>טבלה38[[#This Row],[תוספות]]*טבלה38[[#This Row],[מחיר ליח'' כולל ]]</f>
        <v>0</v>
      </c>
    </row>
    <row r="49" spans="2:42" ht="15.6">
      <c r="B49" s="651">
        <v>6493</v>
      </c>
      <c r="C49" s="650" t="s">
        <v>1070</v>
      </c>
      <c r="D49" s="650" t="s">
        <v>602</v>
      </c>
      <c r="E49" s="650"/>
      <c r="F49" s="673" t="str">
        <f>IF(טבלה38[[#This Row],[סה"כ]]&gt;0,טבלה38[[#This Row],[סה"כ]],"")</f>
        <v/>
      </c>
      <c r="G49" s="656">
        <v>0.17</v>
      </c>
      <c r="H49" s="655">
        <f>טבלה38[[#This Row],[מחיר]]+טבלה38[[#This Row],[% מע"מ]]*טבלה38[[#This Row],[מחיר]]</f>
        <v>0</v>
      </c>
      <c r="I49" s="630">
        <f>טבלה38[[#This Row],[סה"כ]]*טבלה38[[#This Row],[מחיר ליח'' כולל ]]</f>
        <v>0</v>
      </c>
      <c r="J49" s="655">
        <f>SUM(טבלה38[[#This Row],[פימת קפה]:[תוספות]])</f>
        <v>0</v>
      </c>
      <c r="K49" s="655">
        <f>SUMIF(טבלה11517[מקט],טבלה38[[#This Row],[קוד מוצר]],טבלה11517[כמות])</f>
        <v>0</v>
      </c>
      <c r="L49" s="655">
        <f>SUMIF(טבלה115179[מקט],טבלה38[[#This Row],[קוד מוצר]],טבלה115179[כמות])</f>
        <v>0</v>
      </c>
      <c r="M49" s="655">
        <f>SUMIF(טבלה115[מקט],טבלה38[[#This Row],[קוד מוצר]],טבלה115[כמות])</f>
        <v>0</v>
      </c>
      <c r="N49" s="655">
        <f>SUMIF(טבלה1[מק"ט],טבלה38[[#This Row],[קוד מוצר]],טבלה1[כמות])</f>
        <v>0</v>
      </c>
      <c r="O49" s="655">
        <f>SUMIF(טבלה8[מק"ט],טבלה38[[#This Row],[קוד מוצר]],טבלה8[הזמנה])</f>
        <v>0</v>
      </c>
      <c r="P49" s="655">
        <f>SUMIF(טבלה15[מק"ט],טבלה38[[#This Row],[קוד מוצר]],טבלה15[הזמנה])</f>
        <v>0</v>
      </c>
      <c r="Q49" s="655">
        <f>SUMIF(טבלה1151718[מקט],טבלה38[[#This Row],[קוד מוצר]],טבלה1151718[כמות])</f>
        <v>0</v>
      </c>
      <c r="R49" s="655">
        <f>SUMIF(טבלה125[מקט],טבלה38[[#This Row],[קוד מוצר]],טבלה125[כמות])</f>
        <v>0</v>
      </c>
      <c r="S49" s="655">
        <f>SUMIF(טבלה33[מק"ט],טבלה38[[#This Row],[קוד מוצר]],טבלה33[הזמנה])</f>
        <v>0</v>
      </c>
      <c r="T49" s="655">
        <f>SUMIF(טבלה34[עמודה1],טבלה38[[#This Row],[קוד מוצר]],טבלה34[הזמנה])</f>
        <v>0</v>
      </c>
      <c r="U49" s="655">
        <f>SUMIF(טבלה35[עמודה1],טבלה38[[#This Row],[קוד מוצר]],טבלה35[הזמנה])</f>
        <v>0</v>
      </c>
      <c r="V49" s="655">
        <f>SUMIF(טבלה3338[מק"ט],טבלה38[[#This Row],[קוד מוצר]],טבלה3338[הזמנה])</f>
        <v>0</v>
      </c>
      <c r="W49" s="655">
        <f>SUMIF(טבלה3540[עמודה1],טבלה38[[#This Row],[קוד מוצר]],טבלה3540[הזמנה])</f>
        <v>0</v>
      </c>
      <c r="X49" s="655">
        <f>SUMIF(טבלה3441[עמודה1],טבלה38[[#This Row],[קוד מוצר]],טבלה3441[הזמנה])</f>
        <v>0</v>
      </c>
      <c r="Y49" s="655">
        <f>SUMIF(טבלה24[מקט],טבלה38[[#This Row],[קוד מוצר]],טבלה24[כמות])</f>
        <v>0</v>
      </c>
      <c r="Z49" s="655">
        <f>SUMIF(טבלה628[קוד מוצר],טבלה38[[#This Row],[קוד מוצר]],טבלה628[תוספת])</f>
        <v>0</v>
      </c>
      <c r="AA49" s="610">
        <f>טבלה38[[#This Row],[פימת קפה]]*טבלה38[[#This Row],[מחיר ליח'' כולל ]]</f>
        <v>0</v>
      </c>
      <c r="AB49" s="610">
        <f>טבלה38[[#This Row],[פת שחרית]]*טבלה38[[#This Row],[מחיר ליח'' כולל ]]</f>
        <v>0</v>
      </c>
      <c r="AC49" s="610">
        <f>טבלה38[[#This Row],[א. בוקר פריסה]]*טבלה38[[#This Row],[מחיר ליח'' כולל ]]</f>
        <v>0</v>
      </c>
      <c r="AD49" s="666">
        <f>טבלה38[[#This Row],[א. צהררים פריסה ]]*טבלה38[[#This Row],[מחיר ליח'' כולל ]]</f>
        <v>0</v>
      </c>
      <c r="AE49" s="666">
        <f>טבלה38[[#This Row],[בוקר קיטים]]*טבלה38[[#This Row],[מחיר ליח'' כולל ]]</f>
        <v>0</v>
      </c>
      <c r="AF49" s="666">
        <f>טבלה38[[#This Row],[צהריים קיטים]]*טבלה38[[#This Row],[מחיר ליח'' כולל ]]</f>
        <v>0</v>
      </c>
      <c r="AG49" s="666">
        <f>טבלה38[[#This Row],[פריסת אמצע]]*טבלה38[[#This Row],[מחיר ליח'' כולל ]]</f>
        <v>0</v>
      </c>
      <c r="AH49" s="666">
        <f>טבלה38[[#This Row],[מרק]]*טבלה38[[#This Row],[מחיר ליח'' כולל ]]</f>
        <v>0</v>
      </c>
      <c r="AI49" s="666">
        <f>טבלה38[[#This Row],[ערב בישול 1]]*טבלה38[[#This Row],[מחיר ליח'' כולל ]]</f>
        <v>0</v>
      </c>
      <c r="AJ49" s="666">
        <f>טבלה38[[#This Row],[ערב בישול 2]]*טבלה38[[#This Row],[מחיר ליח'' כולל ]]</f>
        <v>0</v>
      </c>
      <c r="AK49" s="666">
        <f>טבלה38[[#This Row],[ערב בישול 3]]*טבלה38[[#This Row],[מחיר ליח'' כולל ]]</f>
        <v>0</v>
      </c>
      <c r="AL49" s="666">
        <f>טבלה38[[#This Row],[ערב קטן 1]]*טבלה38[[#This Row],[מחיר ליח'' כולל ]]</f>
        <v>0</v>
      </c>
      <c r="AM49" s="666">
        <f>טבלה38[[#This Row],[ערב קטן 2]]*טבלה38[[#This Row],[מחיר ליח'' כולל ]]</f>
        <v>0</v>
      </c>
      <c r="AN49" s="666">
        <f>טבלה38[[#This Row],[ערב קטן 3]]*טבלה38[[#This Row],[מחיר ליח'' כולל ]]</f>
        <v>0</v>
      </c>
      <c r="AO49" s="666">
        <f>טבלה38[[#This Row],[קיטים מיוחדים]]*טבלה38[[#This Row],[מחיר ליח'' כולל ]]</f>
        <v>0</v>
      </c>
      <c r="AP49" s="666">
        <f>טבלה38[[#This Row],[תוספות]]*טבלה38[[#This Row],[מחיר ליח'' כולל ]]</f>
        <v>0</v>
      </c>
    </row>
    <row r="50" spans="2:42" ht="14.4">
      <c r="B50" s="651">
        <v>8127</v>
      </c>
      <c r="C50" s="650" t="s">
        <v>1091</v>
      </c>
      <c r="D50" s="650" t="s">
        <v>602</v>
      </c>
      <c r="E50" s="650"/>
      <c r="F50" s="649" t="str">
        <f>IF(טבלה38[[#This Row],[סה"כ]]&gt;0,טבלה38[[#This Row],[סה"כ]],"")</f>
        <v/>
      </c>
      <c r="G50" s="656">
        <v>0.17</v>
      </c>
      <c r="H50" s="655">
        <f>טבלה38[[#This Row],[מחיר]]+טבלה38[[#This Row],[% מע"מ]]*טבלה38[[#This Row],[מחיר]]</f>
        <v>0</v>
      </c>
      <c r="I50" s="630">
        <f>טבלה38[[#This Row],[סה"כ]]*טבלה38[[#This Row],[מחיר ליח'' כולל ]]</f>
        <v>0</v>
      </c>
      <c r="J50" s="655">
        <f>SUM(טבלה38[[#This Row],[פימת קפה]:[תוספות]])</f>
        <v>0</v>
      </c>
      <c r="K50" s="655">
        <f>SUMIF(טבלה11517[מקט],טבלה38[[#This Row],[קוד מוצר]],טבלה11517[כמות])</f>
        <v>0</v>
      </c>
      <c r="L50" s="655">
        <f>SUMIF(טבלה115179[מקט],טבלה38[[#This Row],[קוד מוצר]],טבלה115179[כמות])</f>
        <v>0</v>
      </c>
      <c r="M50" s="655">
        <f>SUMIF(טבלה115[מקט],טבלה38[[#This Row],[קוד מוצר]],טבלה115[כמות])</f>
        <v>0</v>
      </c>
      <c r="N50" s="655">
        <f>SUMIF(טבלה1[מק"ט],טבלה38[[#This Row],[קוד מוצר]],טבלה1[כמות])</f>
        <v>0</v>
      </c>
      <c r="O50" s="655">
        <f>SUMIF(טבלה8[מק"ט],טבלה38[[#This Row],[קוד מוצר]],טבלה8[הזמנה])</f>
        <v>0</v>
      </c>
      <c r="P50" s="655">
        <f>SUMIF(טבלה15[מק"ט],טבלה38[[#This Row],[קוד מוצר]],טבלה15[הזמנה])</f>
        <v>0</v>
      </c>
      <c r="Q50" s="655">
        <f>SUMIF(טבלה1151718[מקט],טבלה38[[#This Row],[קוד מוצר]],טבלה1151718[כמות])</f>
        <v>0</v>
      </c>
      <c r="R50" s="655">
        <f>SUMIF(טבלה125[מקט],טבלה38[[#This Row],[קוד מוצר]],טבלה125[כמות])</f>
        <v>0</v>
      </c>
      <c r="S50" s="655">
        <f>SUMIF(טבלה33[מק"ט],טבלה38[[#This Row],[קוד מוצר]],טבלה33[הזמנה])</f>
        <v>0</v>
      </c>
      <c r="T50" s="655">
        <f>SUMIF(טבלה34[עמודה1],טבלה38[[#This Row],[קוד מוצר]],טבלה34[הזמנה])</f>
        <v>0</v>
      </c>
      <c r="U50" s="655">
        <f>SUMIF(טבלה35[עמודה1],טבלה38[[#This Row],[קוד מוצר]],טבלה35[הזמנה])</f>
        <v>0</v>
      </c>
      <c r="V50" s="655">
        <f>SUMIF(טבלה3338[מק"ט],טבלה38[[#This Row],[קוד מוצר]],טבלה3338[הזמנה])</f>
        <v>0</v>
      </c>
      <c r="W50" s="655">
        <f>SUMIF(טבלה3540[עמודה1],טבלה38[[#This Row],[קוד מוצר]],טבלה3540[הזמנה])</f>
        <v>0</v>
      </c>
      <c r="X50" s="655">
        <f>SUMIF(טבלה3441[עמודה1],טבלה38[[#This Row],[קוד מוצר]],טבלה3441[הזמנה])</f>
        <v>0</v>
      </c>
      <c r="Y50" s="655">
        <f>SUMIF(טבלה24[מקט],טבלה38[[#This Row],[קוד מוצר]],טבלה24[כמות])</f>
        <v>0</v>
      </c>
      <c r="Z50" s="655">
        <f>SUMIF(טבלה628[קוד מוצר],טבלה38[[#This Row],[קוד מוצר]],טבלה628[תוספת])</f>
        <v>0</v>
      </c>
      <c r="AA50" s="610">
        <f>טבלה38[[#This Row],[פימת קפה]]*טבלה38[[#This Row],[מחיר ליח'' כולל ]]</f>
        <v>0</v>
      </c>
      <c r="AB50" s="610">
        <f>טבלה38[[#This Row],[פת שחרית]]*טבלה38[[#This Row],[מחיר ליח'' כולל ]]</f>
        <v>0</v>
      </c>
      <c r="AC50" s="610">
        <f>טבלה38[[#This Row],[א. בוקר פריסה]]*טבלה38[[#This Row],[מחיר ליח'' כולל ]]</f>
        <v>0</v>
      </c>
      <c r="AD50" s="666">
        <f>טבלה38[[#This Row],[א. צהררים פריסה ]]*טבלה38[[#This Row],[מחיר ליח'' כולל ]]</f>
        <v>0</v>
      </c>
      <c r="AE50" s="666">
        <f>טבלה38[[#This Row],[בוקר קיטים]]*טבלה38[[#This Row],[מחיר ליח'' כולל ]]</f>
        <v>0</v>
      </c>
      <c r="AF50" s="666">
        <f>טבלה38[[#This Row],[צהריים קיטים]]*טבלה38[[#This Row],[מחיר ליח'' כולל ]]</f>
        <v>0</v>
      </c>
      <c r="AG50" s="666">
        <f>טבלה38[[#This Row],[פריסת אמצע]]*טבלה38[[#This Row],[מחיר ליח'' כולל ]]</f>
        <v>0</v>
      </c>
      <c r="AH50" s="666">
        <f>טבלה38[[#This Row],[מרק]]*טבלה38[[#This Row],[מחיר ליח'' כולל ]]</f>
        <v>0</v>
      </c>
      <c r="AI50" s="666">
        <f>טבלה38[[#This Row],[ערב בישול 1]]*טבלה38[[#This Row],[מחיר ליח'' כולל ]]</f>
        <v>0</v>
      </c>
      <c r="AJ50" s="666">
        <f>טבלה38[[#This Row],[ערב בישול 2]]*טבלה38[[#This Row],[מחיר ליח'' כולל ]]</f>
        <v>0</v>
      </c>
      <c r="AK50" s="666">
        <f>טבלה38[[#This Row],[ערב בישול 3]]*טבלה38[[#This Row],[מחיר ליח'' כולל ]]</f>
        <v>0</v>
      </c>
      <c r="AL50" s="666">
        <f>טבלה38[[#This Row],[ערב קטן 1]]*טבלה38[[#This Row],[מחיר ליח'' כולל ]]</f>
        <v>0</v>
      </c>
      <c r="AM50" s="666">
        <f>טבלה38[[#This Row],[ערב קטן 2]]*טבלה38[[#This Row],[מחיר ליח'' כולל ]]</f>
        <v>0</v>
      </c>
      <c r="AN50" s="666">
        <f>טבלה38[[#This Row],[ערב קטן 3]]*טבלה38[[#This Row],[מחיר ליח'' כולל ]]</f>
        <v>0</v>
      </c>
      <c r="AO50" s="666">
        <f>טבלה38[[#This Row],[קיטים מיוחדים]]*טבלה38[[#This Row],[מחיר ליח'' כולל ]]</f>
        <v>0</v>
      </c>
      <c r="AP50" s="666">
        <f>טבלה38[[#This Row],[תוספות]]*טבלה38[[#This Row],[מחיר ליח'' כולל ]]</f>
        <v>0</v>
      </c>
    </row>
    <row r="51" spans="2:42" ht="14.4">
      <c r="B51" s="651">
        <v>8504</v>
      </c>
      <c r="C51" s="650" t="s">
        <v>1120</v>
      </c>
      <c r="D51" s="650" t="s">
        <v>231</v>
      </c>
      <c r="E51" s="650"/>
      <c r="F51" s="649" t="str">
        <f>IF(טבלה38[[#This Row],[סה"כ]]&gt;0,טבלה38[[#This Row],[סה"כ]],"")</f>
        <v/>
      </c>
      <c r="G51" s="656">
        <v>0.17</v>
      </c>
      <c r="H51" s="655">
        <f>טבלה38[[#This Row],[מחיר]]+טבלה38[[#This Row],[% מע"מ]]*טבלה38[[#This Row],[מחיר]]</f>
        <v>0</v>
      </c>
      <c r="I51" s="630">
        <f>טבלה38[[#This Row],[סה"כ]]*טבלה38[[#This Row],[מחיר ליח'' כולל ]]</f>
        <v>0</v>
      </c>
      <c r="J51" s="655">
        <f>SUM(טבלה38[[#This Row],[פימת קפה]:[תוספות]])</f>
        <v>0</v>
      </c>
      <c r="K51" s="655">
        <f>SUMIF(טבלה11517[מקט],טבלה38[[#This Row],[קוד מוצר]],טבלה11517[כמות])</f>
        <v>0</v>
      </c>
      <c r="L51" s="655">
        <f>SUMIF(טבלה115179[מקט],טבלה38[[#This Row],[קוד מוצר]],טבלה115179[כמות])</f>
        <v>0</v>
      </c>
      <c r="M51" s="655">
        <f>SUMIF(טבלה115[מקט],טבלה38[[#This Row],[קוד מוצר]],טבלה115[כמות])</f>
        <v>0</v>
      </c>
      <c r="N51" s="655">
        <f>SUMIF(טבלה1[מק"ט],טבלה38[[#This Row],[קוד מוצר]],טבלה1[כמות])</f>
        <v>0</v>
      </c>
      <c r="O51" s="655">
        <f>SUMIF(טבלה8[מק"ט],טבלה38[[#This Row],[קוד מוצר]],טבלה8[הזמנה])</f>
        <v>0</v>
      </c>
      <c r="P51" s="655">
        <f>SUMIF(טבלה15[מק"ט],טבלה38[[#This Row],[קוד מוצר]],טבלה15[הזמנה])</f>
        <v>0</v>
      </c>
      <c r="Q51" s="655">
        <f>SUMIF(טבלה1151718[מקט],טבלה38[[#This Row],[קוד מוצר]],טבלה1151718[כמות])</f>
        <v>0</v>
      </c>
      <c r="R51" s="655">
        <f>SUMIF(טבלה125[מקט],טבלה38[[#This Row],[קוד מוצר]],טבלה125[כמות])</f>
        <v>0</v>
      </c>
      <c r="S51" s="655">
        <f>SUMIF(טבלה33[מק"ט],טבלה38[[#This Row],[קוד מוצר]],טבלה33[הזמנה])</f>
        <v>0</v>
      </c>
      <c r="T51" s="655">
        <f>SUMIF(טבלה34[עמודה1],טבלה38[[#This Row],[קוד מוצר]],טבלה34[הזמנה])</f>
        <v>0</v>
      </c>
      <c r="U51" s="655">
        <f>SUMIF(טבלה35[עמודה1],טבלה38[[#This Row],[קוד מוצר]],טבלה35[הזמנה])</f>
        <v>0</v>
      </c>
      <c r="V51" s="655">
        <f>SUMIF(טבלה3338[מק"ט],טבלה38[[#This Row],[קוד מוצר]],טבלה3338[הזמנה])</f>
        <v>0</v>
      </c>
      <c r="W51" s="655">
        <f>SUMIF(טבלה3540[עמודה1],טבלה38[[#This Row],[קוד מוצר]],טבלה3540[הזמנה])</f>
        <v>0</v>
      </c>
      <c r="X51" s="655">
        <f>SUMIF(טבלה3441[עמודה1],טבלה38[[#This Row],[קוד מוצר]],טבלה3441[הזמנה])</f>
        <v>0</v>
      </c>
      <c r="Y51" s="655">
        <f>SUMIF(טבלה24[מקט],טבלה38[[#This Row],[קוד מוצר]],טבלה24[כמות])</f>
        <v>0</v>
      </c>
      <c r="Z51" s="655">
        <f>SUMIF(טבלה628[קוד מוצר],טבלה38[[#This Row],[קוד מוצר]],טבלה628[תוספת])</f>
        <v>0</v>
      </c>
      <c r="AA51" s="610">
        <f>טבלה38[[#This Row],[פימת קפה]]*טבלה38[[#This Row],[מחיר ליח'' כולל ]]</f>
        <v>0</v>
      </c>
      <c r="AB51" s="610">
        <f>טבלה38[[#This Row],[פת שחרית]]*טבלה38[[#This Row],[מחיר ליח'' כולל ]]</f>
        <v>0</v>
      </c>
      <c r="AC51" s="610">
        <f>טבלה38[[#This Row],[א. בוקר פריסה]]*טבלה38[[#This Row],[מחיר ליח'' כולל ]]</f>
        <v>0</v>
      </c>
      <c r="AD51" s="666">
        <f>טבלה38[[#This Row],[א. צהררים פריסה ]]*טבלה38[[#This Row],[מחיר ליח'' כולל ]]</f>
        <v>0</v>
      </c>
      <c r="AE51" s="666">
        <f>טבלה38[[#This Row],[בוקר קיטים]]*טבלה38[[#This Row],[מחיר ליח'' כולל ]]</f>
        <v>0</v>
      </c>
      <c r="AF51" s="666">
        <f>טבלה38[[#This Row],[צהריים קיטים]]*טבלה38[[#This Row],[מחיר ליח'' כולל ]]</f>
        <v>0</v>
      </c>
      <c r="AG51" s="666">
        <f>טבלה38[[#This Row],[פריסת אמצע]]*טבלה38[[#This Row],[מחיר ליח'' כולל ]]</f>
        <v>0</v>
      </c>
      <c r="AH51" s="666">
        <f>טבלה38[[#This Row],[מרק]]*טבלה38[[#This Row],[מחיר ליח'' כולל ]]</f>
        <v>0</v>
      </c>
      <c r="AI51" s="666">
        <f>טבלה38[[#This Row],[ערב בישול 1]]*טבלה38[[#This Row],[מחיר ליח'' כולל ]]</f>
        <v>0</v>
      </c>
      <c r="AJ51" s="666">
        <f>טבלה38[[#This Row],[ערב בישול 2]]*טבלה38[[#This Row],[מחיר ליח'' כולל ]]</f>
        <v>0</v>
      </c>
      <c r="AK51" s="666">
        <f>טבלה38[[#This Row],[ערב בישול 3]]*טבלה38[[#This Row],[מחיר ליח'' כולל ]]</f>
        <v>0</v>
      </c>
      <c r="AL51" s="666">
        <f>טבלה38[[#This Row],[ערב קטן 1]]*טבלה38[[#This Row],[מחיר ליח'' כולל ]]</f>
        <v>0</v>
      </c>
      <c r="AM51" s="666">
        <f>טבלה38[[#This Row],[ערב קטן 2]]*טבלה38[[#This Row],[מחיר ליח'' כולל ]]</f>
        <v>0</v>
      </c>
      <c r="AN51" s="666">
        <f>טבלה38[[#This Row],[ערב קטן 3]]*טבלה38[[#This Row],[מחיר ליח'' כולל ]]</f>
        <v>0</v>
      </c>
      <c r="AO51" s="666">
        <f>טבלה38[[#This Row],[קיטים מיוחדים]]*טבלה38[[#This Row],[מחיר ליח'' כולל ]]</f>
        <v>0</v>
      </c>
      <c r="AP51" s="666">
        <f>טבלה38[[#This Row],[תוספות]]*טבלה38[[#This Row],[מחיר ליח'' כולל ]]</f>
        <v>0</v>
      </c>
    </row>
    <row r="52" spans="2:42" ht="14.4">
      <c r="B52" s="651">
        <v>8702</v>
      </c>
      <c r="C52" s="650" t="s">
        <v>1153</v>
      </c>
      <c r="D52" s="650" t="s">
        <v>602</v>
      </c>
      <c r="E52" s="650"/>
      <c r="F52" s="649" t="str">
        <f>IF(טבלה38[[#This Row],[סה"כ]]&gt;0,טבלה38[[#This Row],[סה"כ]],"")</f>
        <v/>
      </c>
      <c r="G52" s="656">
        <v>0.17</v>
      </c>
      <c r="H52" s="655">
        <f>טבלה38[[#This Row],[מחיר]]+טבלה38[[#This Row],[% מע"מ]]*טבלה38[[#This Row],[מחיר]]</f>
        <v>0</v>
      </c>
      <c r="I52" s="630">
        <f>טבלה38[[#This Row],[סה"כ]]*טבלה38[[#This Row],[מחיר ליח'' כולל ]]</f>
        <v>0</v>
      </c>
      <c r="J52" s="655">
        <f>SUM(טבלה38[[#This Row],[פימת קפה]:[תוספות]])</f>
        <v>0</v>
      </c>
      <c r="K52" s="655">
        <f>SUMIF(טבלה11517[מקט],טבלה38[[#This Row],[קוד מוצר]],טבלה11517[כמות])</f>
        <v>0</v>
      </c>
      <c r="L52" s="655">
        <f>SUMIF(טבלה115179[מקט],טבלה38[[#This Row],[קוד מוצר]],טבלה115179[כמות])</f>
        <v>0</v>
      </c>
      <c r="M52" s="655">
        <f>SUMIF(טבלה115[מקט],טבלה38[[#This Row],[קוד מוצר]],טבלה115[כמות])</f>
        <v>0</v>
      </c>
      <c r="N52" s="655">
        <f>SUMIF(טבלה1[מק"ט],טבלה38[[#This Row],[קוד מוצר]],טבלה1[כמות])</f>
        <v>0</v>
      </c>
      <c r="O52" s="655">
        <f>SUMIF(טבלה8[מק"ט],טבלה38[[#This Row],[קוד מוצר]],טבלה8[הזמנה])</f>
        <v>0</v>
      </c>
      <c r="P52" s="655">
        <f>SUMIF(טבלה15[מק"ט],טבלה38[[#This Row],[קוד מוצר]],טבלה15[הזמנה])</f>
        <v>0</v>
      </c>
      <c r="Q52" s="655">
        <f>SUMIF(טבלה1151718[מקט],טבלה38[[#This Row],[קוד מוצר]],טבלה1151718[כמות])</f>
        <v>0</v>
      </c>
      <c r="R52" s="655">
        <f>SUMIF(טבלה125[מקט],טבלה38[[#This Row],[קוד מוצר]],טבלה125[כמות])</f>
        <v>0</v>
      </c>
      <c r="S52" s="655">
        <f>SUMIF(טבלה33[מק"ט],טבלה38[[#This Row],[קוד מוצר]],טבלה33[הזמנה])</f>
        <v>0</v>
      </c>
      <c r="T52" s="655">
        <f>SUMIF(טבלה34[עמודה1],טבלה38[[#This Row],[קוד מוצר]],טבלה34[הזמנה])</f>
        <v>0</v>
      </c>
      <c r="U52" s="655">
        <f>SUMIF(טבלה35[עמודה1],טבלה38[[#This Row],[קוד מוצר]],טבלה35[הזמנה])</f>
        <v>0</v>
      </c>
      <c r="V52" s="655">
        <f>SUMIF(טבלה3338[מק"ט],טבלה38[[#This Row],[קוד מוצר]],טבלה3338[הזמנה])</f>
        <v>0</v>
      </c>
      <c r="W52" s="655">
        <f>SUMIF(טבלה3540[עמודה1],טבלה38[[#This Row],[קוד מוצר]],טבלה3540[הזמנה])</f>
        <v>0</v>
      </c>
      <c r="X52" s="655">
        <f>SUMIF(טבלה3441[עמודה1],טבלה38[[#This Row],[קוד מוצר]],טבלה3441[הזמנה])</f>
        <v>0</v>
      </c>
      <c r="Y52" s="655">
        <f>SUMIF(טבלה24[מקט],טבלה38[[#This Row],[קוד מוצר]],טבלה24[כמות])</f>
        <v>0</v>
      </c>
      <c r="Z52" s="655">
        <f>SUMIF(טבלה628[קוד מוצר],טבלה38[[#This Row],[קוד מוצר]],טבלה628[תוספת])</f>
        <v>0</v>
      </c>
      <c r="AA52" s="610">
        <f>טבלה38[[#This Row],[פימת קפה]]*טבלה38[[#This Row],[מחיר ליח'' כולל ]]</f>
        <v>0</v>
      </c>
      <c r="AB52" s="610">
        <f>טבלה38[[#This Row],[פת שחרית]]*טבלה38[[#This Row],[מחיר ליח'' כולל ]]</f>
        <v>0</v>
      </c>
      <c r="AC52" s="610">
        <f>טבלה38[[#This Row],[א. בוקר פריסה]]*טבלה38[[#This Row],[מחיר ליח'' כולל ]]</f>
        <v>0</v>
      </c>
      <c r="AD52" s="666">
        <f>טבלה38[[#This Row],[א. צהררים פריסה ]]*טבלה38[[#This Row],[מחיר ליח'' כולל ]]</f>
        <v>0</v>
      </c>
      <c r="AE52" s="666">
        <f>טבלה38[[#This Row],[בוקר קיטים]]*טבלה38[[#This Row],[מחיר ליח'' כולל ]]</f>
        <v>0</v>
      </c>
      <c r="AF52" s="666">
        <f>טבלה38[[#This Row],[צהריים קיטים]]*טבלה38[[#This Row],[מחיר ליח'' כולל ]]</f>
        <v>0</v>
      </c>
      <c r="AG52" s="666">
        <f>טבלה38[[#This Row],[פריסת אמצע]]*טבלה38[[#This Row],[מחיר ליח'' כולל ]]</f>
        <v>0</v>
      </c>
      <c r="AH52" s="666">
        <f>טבלה38[[#This Row],[מרק]]*טבלה38[[#This Row],[מחיר ליח'' כולל ]]</f>
        <v>0</v>
      </c>
      <c r="AI52" s="666">
        <f>טבלה38[[#This Row],[ערב בישול 1]]*טבלה38[[#This Row],[מחיר ליח'' כולל ]]</f>
        <v>0</v>
      </c>
      <c r="AJ52" s="666">
        <f>טבלה38[[#This Row],[ערב בישול 2]]*טבלה38[[#This Row],[מחיר ליח'' כולל ]]</f>
        <v>0</v>
      </c>
      <c r="AK52" s="666">
        <f>טבלה38[[#This Row],[ערב בישול 3]]*טבלה38[[#This Row],[מחיר ליח'' כולל ]]</f>
        <v>0</v>
      </c>
      <c r="AL52" s="666">
        <f>טבלה38[[#This Row],[ערב קטן 1]]*טבלה38[[#This Row],[מחיר ליח'' כולל ]]</f>
        <v>0</v>
      </c>
      <c r="AM52" s="666">
        <f>טבלה38[[#This Row],[ערב קטן 2]]*טבלה38[[#This Row],[מחיר ליח'' כולל ]]</f>
        <v>0</v>
      </c>
      <c r="AN52" s="666">
        <f>טבלה38[[#This Row],[ערב קטן 3]]*טבלה38[[#This Row],[מחיר ליח'' כולל ]]</f>
        <v>0</v>
      </c>
      <c r="AO52" s="666">
        <f>טבלה38[[#This Row],[קיטים מיוחדים]]*טבלה38[[#This Row],[מחיר ליח'' כולל ]]</f>
        <v>0</v>
      </c>
      <c r="AP52" s="666">
        <f>טבלה38[[#This Row],[תוספות]]*טבלה38[[#This Row],[מחיר ליח'' כולל ]]</f>
        <v>0</v>
      </c>
    </row>
    <row r="53" spans="2:42" ht="14.4">
      <c r="B53" s="651">
        <v>248</v>
      </c>
      <c r="C53" s="650" t="s">
        <v>1142</v>
      </c>
      <c r="D53" s="650" t="s">
        <v>602</v>
      </c>
      <c r="E53" s="650"/>
      <c r="F53" s="649" t="str">
        <f>IF(טבלה38[[#This Row],[סה"כ]]&gt;0,טבלה38[[#This Row],[סה"כ]],"")</f>
        <v/>
      </c>
      <c r="G53" s="656">
        <v>0.17</v>
      </c>
      <c r="H53" s="655">
        <f>טבלה38[[#This Row],[מחיר]]+טבלה38[[#This Row],[% מע"מ]]*טבלה38[[#This Row],[מחיר]]</f>
        <v>0</v>
      </c>
      <c r="I53" s="630">
        <f>טבלה38[[#This Row],[סה"כ]]*טבלה38[[#This Row],[מחיר ליח'' כולל ]]</f>
        <v>0</v>
      </c>
      <c r="J53" s="655">
        <f>SUM(טבלה38[[#This Row],[פימת קפה]:[תוספות]])</f>
        <v>0</v>
      </c>
      <c r="K53" s="655">
        <f>SUMIF(טבלה11517[מקט],טבלה38[[#This Row],[קוד מוצר]],טבלה11517[כמות])</f>
        <v>0</v>
      </c>
      <c r="L53" s="655">
        <f>SUMIF(טבלה115179[מקט],טבלה38[[#This Row],[קוד מוצר]],טבלה115179[כמות])</f>
        <v>0</v>
      </c>
      <c r="M53" s="655">
        <f>SUMIF(טבלה115[מקט],טבלה38[[#This Row],[קוד מוצר]],טבלה115[כמות])</f>
        <v>0</v>
      </c>
      <c r="N53" s="655">
        <f>SUMIF(טבלה1[מק"ט],טבלה38[[#This Row],[קוד מוצר]],טבלה1[כמות])</f>
        <v>0</v>
      </c>
      <c r="O53" s="655">
        <f>SUMIF(טבלה8[מק"ט],טבלה38[[#This Row],[קוד מוצר]],טבלה8[הזמנה])</f>
        <v>0</v>
      </c>
      <c r="P53" s="655">
        <f>SUMIF(טבלה15[מק"ט],טבלה38[[#This Row],[קוד מוצר]],טבלה15[הזמנה])</f>
        <v>0</v>
      </c>
      <c r="Q53" s="655">
        <f>SUMIF(טבלה1151718[מקט],טבלה38[[#This Row],[קוד מוצר]],טבלה1151718[כמות])</f>
        <v>0</v>
      </c>
      <c r="R53" s="655">
        <f>SUMIF(טבלה125[מקט],טבלה38[[#This Row],[קוד מוצר]],טבלה125[כמות])</f>
        <v>0</v>
      </c>
      <c r="S53" s="655">
        <f>SUMIF(טבלה33[מק"ט],טבלה38[[#This Row],[קוד מוצר]],טבלה33[הזמנה])</f>
        <v>0</v>
      </c>
      <c r="T53" s="655">
        <f>SUMIF(טבלה34[עמודה1],טבלה38[[#This Row],[קוד מוצר]],טבלה34[הזמנה])</f>
        <v>0</v>
      </c>
      <c r="U53" s="655">
        <f>SUMIF(טבלה35[עמודה1],טבלה38[[#This Row],[קוד מוצר]],טבלה35[הזמנה])</f>
        <v>0</v>
      </c>
      <c r="V53" s="655">
        <f>SUMIF(טבלה3338[מק"ט],טבלה38[[#This Row],[קוד מוצר]],טבלה3338[הזמנה])</f>
        <v>0</v>
      </c>
      <c r="W53" s="655">
        <f>SUMIF(טבלה3540[עמודה1],טבלה38[[#This Row],[קוד מוצר]],טבלה3540[הזמנה])</f>
        <v>0</v>
      </c>
      <c r="X53" s="655">
        <f>SUMIF(טבלה3441[עמודה1],טבלה38[[#This Row],[קוד מוצר]],טבלה3441[הזמנה])</f>
        <v>0</v>
      </c>
      <c r="Y53" s="655">
        <f>SUMIF(טבלה24[מקט],טבלה38[[#This Row],[קוד מוצר]],טבלה24[כמות])</f>
        <v>0</v>
      </c>
      <c r="Z53" s="655">
        <f>SUMIF(טבלה628[קוד מוצר],טבלה38[[#This Row],[קוד מוצר]],טבלה628[תוספת])</f>
        <v>0</v>
      </c>
      <c r="AA53" s="610">
        <f>טבלה38[[#This Row],[פימת קפה]]*טבלה38[[#This Row],[מחיר ליח'' כולל ]]</f>
        <v>0</v>
      </c>
      <c r="AB53" s="610">
        <f>טבלה38[[#This Row],[פת שחרית]]*טבלה38[[#This Row],[מחיר ליח'' כולל ]]</f>
        <v>0</v>
      </c>
      <c r="AC53" s="610">
        <f>טבלה38[[#This Row],[א. בוקר פריסה]]*טבלה38[[#This Row],[מחיר ליח'' כולל ]]</f>
        <v>0</v>
      </c>
      <c r="AD53" s="666">
        <f>טבלה38[[#This Row],[א. צהררים פריסה ]]*טבלה38[[#This Row],[מחיר ליח'' כולל ]]</f>
        <v>0</v>
      </c>
      <c r="AE53" s="666">
        <f>טבלה38[[#This Row],[בוקר קיטים]]*טבלה38[[#This Row],[מחיר ליח'' כולל ]]</f>
        <v>0</v>
      </c>
      <c r="AF53" s="666">
        <f>טבלה38[[#This Row],[צהריים קיטים]]*טבלה38[[#This Row],[מחיר ליח'' כולל ]]</f>
        <v>0</v>
      </c>
      <c r="AG53" s="666">
        <f>טבלה38[[#This Row],[פריסת אמצע]]*טבלה38[[#This Row],[מחיר ליח'' כולל ]]</f>
        <v>0</v>
      </c>
      <c r="AH53" s="666">
        <f>טבלה38[[#This Row],[מרק]]*טבלה38[[#This Row],[מחיר ליח'' כולל ]]</f>
        <v>0</v>
      </c>
      <c r="AI53" s="666">
        <f>טבלה38[[#This Row],[ערב בישול 1]]*טבלה38[[#This Row],[מחיר ליח'' כולל ]]</f>
        <v>0</v>
      </c>
      <c r="AJ53" s="666">
        <f>טבלה38[[#This Row],[ערב בישול 2]]*טבלה38[[#This Row],[מחיר ליח'' כולל ]]</f>
        <v>0</v>
      </c>
      <c r="AK53" s="666">
        <f>טבלה38[[#This Row],[ערב בישול 3]]*טבלה38[[#This Row],[מחיר ליח'' כולל ]]</f>
        <v>0</v>
      </c>
      <c r="AL53" s="666">
        <f>טבלה38[[#This Row],[ערב קטן 1]]*טבלה38[[#This Row],[מחיר ליח'' כולל ]]</f>
        <v>0</v>
      </c>
      <c r="AM53" s="666">
        <f>טבלה38[[#This Row],[ערב קטן 2]]*טבלה38[[#This Row],[מחיר ליח'' כולל ]]</f>
        <v>0</v>
      </c>
      <c r="AN53" s="666">
        <f>טבלה38[[#This Row],[ערב קטן 3]]*טבלה38[[#This Row],[מחיר ליח'' כולל ]]</f>
        <v>0</v>
      </c>
      <c r="AO53" s="666">
        <f>טבלה38[[#This Row],[קיטים מיוחדים]]*טבלה38[[#This Row],[מחיר ליח'' כולל ]]</f>
        <v>0</v>
      </c>
      <c r="AP53" s="666">
        <f>טבלה38[[#This Row],[תוספות]]*טבלה38[[#This Row],[מחיר ליח'' כולל ]]</f>
        <v>0</v>
      </c>
    </row>
    <row r="54" spans="2:42" ht="14.4">
      <c r="B54" s="651">
        <v>1486</v>
      </c>
      <c r="C54" s="650" t="s">
        <v>1035</v>
      </c>
      <c r="D54" s="650" t="s">
        <v>240</v>
      </c>
      <c r="E54" s="650"/>
      <c r="F54" s="649" t="str">
        <f>IF(טבלה38[[#This Row],[סה"כ]]&gt;0,טבלה38[[#This Row],[סה"כ]],"")</f>
        <v/>
      </c>
      <c r="G54" s="656">
        <v>0.17</v>
      </c>
      <c r="H54" s="655">
        <f>טבלה38[[#This Row],[מחיר]]+טבלה38[[#This Row],[% מע"מ]]*טבלה38[[#This Row],[מחיר]]</f>
        <v>0</v>
      </c>
      <c r="I54" s="630">
        <f>טבלה38[[#This Row],[סה"כ]]*טבלה38[[#This Row],[מחיר ליח'' כולל ]]</f>
        <v>0</v>
      </c>
      <c r="J54" s="655">
        <f>SUM(טבלה38[[#This Row],[פימת קפה]:[תוספות]])</f>
        <v>0</v>
      </c>
      <c r="K54" s="655">
        <f>SUMIF(טבלה11517[מקט],טבלה38[[#This Row],[קוד מוצר]],טבלה11517[כמות])</f>
        <v>0</v>
      </c>
      <c r="L54" s="655">
        <f>SUMIF(טבלה115179[מקט],טבלה38[[#This Row],[קוד מוצר]],טבלה115179[כמות])</f>
        <v>0</v>
      </c>
      <c r="M54" s="655">
        <f>SUMIF(טבלה115[מקט],טבלה38[[#This Row],[קוד מוצר]],טבלה115[כמות])</f>
        <v>0</v>
      </c>
      <c r="N54" s="655">
        <f>SUMIF(טבלה1[מק"ט],טבלה38[[#This Row],[קוד מוצר]],טבלה1[כמות])</f>
        <v>0</v>
      </c>
      <c r="O54" s="655">
        <f>SUMIF(טבלה8[מק"ט],טבלה38[[#This Row],[קוד מוצר]],טבלה8[הזמנה])</f>
        <v>0</v>
      </c>
      <c r="P54" s="655">
        <f>SUMIF(טבלה15[מק"ט],טבלה38[[#This Row],[קוד מוצר]],טבלה15[הזמנה])</f>
        <v>0</v>
      </c>
      <c r="Q54" s="655">
        <f>SUMIF(טבלה1151718[מקט],טבלה38[[#This Row],[קוד מוצר]],טבלה1151718[כמות])</f>
        <v>0</v>
      </c>
      <c r="R54" s="655">
        <f>SUMIF(טבלה125[מקט],טבלה38[[#This Row],[קוד מוצר]],טבלה125[כמות])</f>
        <v>0</v>
      </c>
      <c r="S54" s="655">
        <f>SUMIF(טבלה33[מק"ט],טבלה38[[#This Row],[קוד מוצר]],טבלה33[הזמנה])</f>
        <v>0</v>
      </c>
      <c r="T54" s="655">
        <f>SUMIF(טבלה34[עמודה1],טבלה38[[#This Row],[קוד מוצר]],טבלה34[הזמנה])</f>
        <v>0</v>
      </c>
      <c r="U54" s="655">
        <f>SUMIF(טבלה35[עמודה1],טבלה38[[#This Row],[קוד מוצר]],טבלה35[הזמנה])</f>
        <v>0</v>
      </c>
      <c r="V54" s="655">
        <f>SUMIF(טבלה3338[מק"ט],טבלה38[[#This Row],[קוד מוצר]],טבלה3338[הזמנה])</f>
        <v>0</v>
      </c>
      <c r="W54" s="655">
        <f>SUMIF(טבלה3540[עמודה1],טבלה38[[#This Row],[קוד מוצר]],טבלה3540[הזמנה])</f>
        <v>0</v>
      </c>
      <c r="X54" s="655">
        <f>SUMIF(טבלה3441[עמודה1],טבלה38[[#This Row],[קוד מוצר]],טבלה3441[הזמנה])</f>
        <v>0</v>
      </c>
      <c r="Y54" s="655">
        <f>SUMIF(טבלה24[מקט],טבלה38[[#This Row],[קוד מוצר]],טבלה24[כמות])</f>
        <v>0</v>
      </c>
      <c r="Z54" s="655">
        <f>SUMIF(טבלה628[קוד מוצר],טבלה38[[#This Row],[קוד מוצר]],טבלה628[תוספת])</f>
        <v>0</v>
      </c>
      <c r="AA54" s="610">
        <f>טבלה38[[#This Row],[פימת קפה]]*טבלה38[[#This Row],[מחיר ליח'' כולל ]]</f>
        <v>0</v>
      </c>
      <c r="AB54" s="610">
        <f>טבלה38[[#This Row],[פת שחרית]]*טבלה38[[#This Row],[מחיר ליח'' כולל ]]</f>
        <v>0</v>
      </c>
      <c r="AC54" s="610">
        <f>טבלה38[[#This Row],[א. בוקר פריסה]]*טבלה38[[#This Row],[מחיר ליח'' כולל ]]</f>
        <v>0</v>
      </c>
      <c r="AD54" s="666">
        <f>טבלה38[[#This Row],[א. צהררים פריסה ]]*טבלה38[[#This Row],[מחיר ליח'' כולל ]]</f>
        <v>0</v>
      </c>
      <c r="AE54" s="666">
        <f>טבלה38[[#This Row],[בוקר קיטים]]*טבלה38[[#This Row],[מחיר ליח'' כולל ]]</f>
        <v>0</v>
      </c>
      <c r="AF54" s="666">
        <f>טבלה38[[#This Row],[צהריים קיטים]]*טבלה38[[#This Row],[מחיר ליח'' כולל ]]</f>
        <v>0</v>
      </c>
      <c r="AG54" s="666">
        <f>טבלה38[[#This Row],[פריסת אמצע]]*טבלה38[[#This Row],[מחיר ליח'' כולל ]]</f>
        <v>0</v>
      </c>
      <c r="AH54" s="666">
        <f>טבלה38[[#This Row],[מרק]]*טבלה38[[#This Row],[מחיר ליח'' כולל ]]</f>
        <v>0</v>
      </c>
      <c r="AI54" s="666">
        <f>טבלה38[[#This Row],[ערב בישול 1]]*טבלה38[[#This Row],[מחיר ליח'' כולל ]]</f>
        <v>0</v>
      </c>
      <c r="AJ54" s="666">
        <f>טבלה38[[#This Row],[ערב בישול 2]]*טבלה38[[#This Row],[מחיר ליח'' כולל ]]</f>
        <v>0</v>
      </c>
      <c r="AK54" s="666">
        <f>טבלה38[[#This Row],[ערב בישול 3]]*טבלה38[[#This Row],[מחיר ליח'' כולל ]]</f>
        <v>0</v>
      </c>
      <c r="AL54" s="666">
        <f>טבלה38[[#This Row],[ערב קטן 1]]*טבלה38[[#This Row],[מחיר ליח'' כולל ]]</f>
        <v>0</v>
      </c>
      <c r="AM54" s="666">
        <f>טבלה38[[#This Row],[ערב קטן 2]]*טבלה38[[#This Row],[מחיר ליח'' כולל ]]</f>
        <v>0</v>
      </c>
      <c r="AN54" s="666">
        <f>טבלה38[[#This Row],[ערב קטן 3]]*טבלה38[[#This Row],[מחיר ליח'' כולל ]]</f>
        <v>0</v>
      </c>
      <c r="AO54" s="666">
        <f>טבלה38[[#This Row],[קיטים מיוחדים]]*טבלה38[[#This Row],[מחיר ליח'' כולל ]]</f>
        <v>0</v>
      </c>
      <c r="AP54" s="666">
        <f>טבלה38[[#This Row],[תוספות]]*טבלה38[[#This Row],[מחיר ליח'' כולל ]]</f>
        <v>0</v>
      </c>
    </row>
    <row r="55" spans="2:42" ht="14.4">
      <c r="B55" s="651">
        <v>2449</v>
      </c>
      <c r="C55" s="650" t="s">
        <v>1139</v>
      </c>
      <c r="D55" s="650" t="s">
        <v>602</v>
      </c>
      <c r="E55" s="650"/>
      <c r="F55" s="649" t="str">
        <f>IF(טבלה38[[#This Row],[סה"כ]]&gt;0,טבלה38[[#This Row],[סה"כ]],"")</f>
        <v/>
      </c>
      <c r="G55" s="656">
        <v>0.17</v>
      </c>
      <c r="H55" s="655">
        <f>טבלה38[[#This Row],[מחיר]]+טבלה38[[#This Row],[% מע"מ]]*טבלה38[[#This Row],[מחיר]]</f>
        <v>0</v>
      </c>
      <c r="I55" s="630">
        <f>טבלה38[[#This Row],[סה"כ]]*טבלה38[[#This Row],[מחיר ליח'' כולל ]]</f>
        <v>0</v>
      </c>
      <c r="J55" s="655">
        <f>SUM(טבלה38[[#This Row],[פימת קפה]:[תוספות]])</f>
        <v>0</v>
      </c>
      <c r="K55" s="655">
        <f>SUMIF(טבלה11517[מקט],טבלה38[[#This Row],[קוד מוצר]],טבלה11517[כמות])</f>
        <v>0</v>
      </c>
      <c r="L55" s="655">
        <f>SUMIF(טבלה115179[מקט],טבלה38[[#This Row],[קוד מוצר]],טבלה115179[כמות])</f>
        <v>0</v>
      </c>
      <c r="M55" s="655">
        <f>SUMIF(טבלה115[מקט],טבלה38[[#This Row],[קוד מוצר]],טבלה115[כמות])</f>
        <v>0</v>
      </c>
      <c r="N55" s="655">
        <f>SUMIF(טבלה1[מק"ט],טבלה38[[#This Row],[קוד מוצר]],טבלה1[כמות])</f>
        <v>0</v>
      </c>
      <c r="O55" s="655">
        <f>SUMIF(טבלה8[מק"ט],טבלה38[[#This Row],[קוד מוצר]],טבלה8[הזמנה])</f>
        <v>0</v>
      </c>
      <c r="P55" s="655">
        <f>SUMIF(טבלה15[מק"ט],טבלה38[[#This Row],[קוד מוצר]],טבלה15[הזמנה])</f>
        <v>0</v>
      </c>
      <c r="Q55" s="655">
        <f>SUMIF(טבלה1151718[מקט],טבלה38[[#This Row],[קוד מוצר]],טבלה1151718[כמות])</f>
        <v>0</v>
      </c>
      <c r="R55" s="655">
        <f>SUMIF(טבלה125[מקט],טבלה38[[#This Row],[קוד מוצר]],טבלה125[כמות])</f>
        <v>0</v>
      </c>
      <c r="S55" s="655">
        <f>SUMIF(טבלה33[מק"ט],טבלה38[[#This Row],[קוד מוצר]],טבלה33[הזמנה])</f>
        <v>0</v>
      </c>
      <c r="T55" s="655">
        <f>SUMIF(טבלה34[עמודה1],טבלה38[[#This Row],[קוד מוצר]],טבלה34[הזמנה])</f>
        <v>0</v>
      </c>
      <c r="U55" s="655">
        <f>SUMIF(טבלה35[עמודה1],טבלה38[[#This Row],[קוד מוצר]],טבלה35[הזמנה])</f>
        <v>0</v>
      </c>
      <c r="V55" s="655">
        <f>SUMIF(טבלה3338[מק"ט],טבלה38[[#This Row],[קוד מוצר]],טבלה3338[הזמנה])</f>
        <v>0</v>
      </c>
      <c r="W55" s="655">
        <f>SUMIF(טבלה3540[עמודה1],טבלה38[[#This Row],[קוד מוצר]],טבלה3540[הזמנה])</f>
        <v>0</v>
      </c>
      <c r="X55" s="655">
        <f>SUMIF(טבלה3441[עמודה1],טבלה38[[#This Row],[קוד מוצר]],טבלה3441[הזמנה])</f>
        <v>0</v>
      </c>
      <c r="Y55" s="655">
        <f>SUMIF(טבלה24[מקט],טבלה38[[#This Row],[קוד מוצר]],טבלה24[כמות])</f>
        <v>0</v>
      </c>
      <c r="Z55" s="655">
        <f>SUMIF(טבלה628[קוד מוצר],טבלה38[[#This Row],[קוד מוצר]],טבלה628[תוספת])</f>
        <v>0</v>
      </c>
      <c r="AA55" s="610">
        <f>טבלה38[[#This Row],[פימת קפה]]*טבלה38[[#This Row],[מחיר ליח'' כולל ]]</f>
        <v>0</v>
      </c>
      <c r="AB55" s="610">
        <f>טבלה38[[#This Row],[פת שחרית]]*טבלה38[[#This Row],[מחיר ליח'' כולל ]]</f>
        <v>0</v>
      </c>
      <c r="AC55" s="610">
        <f>טבלה38[[#This Row],[א. בוקר פריסה]]*טבלה38[[#This Row],[מחיר ליח'' כולל ]]</f>
        <v>0</v>
      </c>
      <c r="AD55" s="666">
        <f>טבלה38[[#This Row],[א. צהררים פריסה ]]*טבלה38[[#This Row],[מחיר ליח'' כולל ]]</f>
        <v>0</v>
      </c>
      <c r="AE55" s="666">
        <f>טבלה38[[#This Row],[בוקר קיטים]]*טבלה38[[#This Row],[מחיר ליח'' כולל ]]</f>
        <v>0</v>
      </c>
      <c r="AF55" s="666">
        <f>טבלה38[[#This Row],[צהריים קיטים]]*טבלה38[[#This Row],[מחיר ליח'' כולל ]]</f>
        <v>0</v>
      </c>
      <c r="AG55" s="666">
        <f>טבלה38[[#This Row],[פריסת אמצע]]*טבלה38[[#This Row],[מחיר ליח'' כולל ]]</f>
        <v>0</v>
      </c>
      <c r="AH55" s="666">
        <f>טבלה38[[#This Row],[מרק]]*טבלה38[[#This Row],[מחיר ליח'' כולל ]]</f>
        <v>0</v>
      </c>
      <c r="AI55" s="666">
        <f>טבלה38[[#This Row],[ערב בישול 1]]*טבלה38[[#This Row],[מחיר ליח'' כולל ]]</f>
        <v>0</v>
      </c>
      <c r="AJ55" s="666">
        <f>טבלה38[[#This Row],[ערב בישול 2]]*טבלה38[[#This Row],[מחיר ליח'' כולל ]]</f>
        <v>0</v>
      </c>
      <c r="AK55" s="666">
        <f>טבלה38[[#This Row],[ערב בישול 3]]*טבלה38[[#This Row],[מחיר ליח'' כולל ]]</f>
        <v>0</v>
      </c>
      <c r="AL55" s="666">
        <f>טבלה38[[#This Row],[ערב קטן 1]]*טבלה38[[#This Row],[מחיר ליח'' כולל ]]</f>
        <v>0</v>
      </c>
      <c r="AM55" s="666">
        <f>טבלה38[[#This Row],[ערב קטן 2]]*טבלה38[[#This Row],[מחיר ליח'' כולל ]]</f>
        <v>0</v>
      </c>
      <c r="AN55" s="666">
        <f>טבלה38[[#This Row],[ערב קטן 3]]*טבלה38[[#This Row],[מחיר ליח'' כולל ]]</f>
        <v>0</v>
      </c>
      <c r="AO55" s="666">
        <f>טבלה38[[#This Row],[קיטים מיוחדים]]*טבלה38[[#This Row],[מחיר ליח'' כולל ]]</f>
        <v>0</v>
      </c>
      <c r="AP55" s="666">
        <f>טבלה38[[#This Row],[תוספות]]*טבלה38[[#This Row],[מחיר ליח'' כולל ]]</f>
        <v>0</v>
      </c>
    </row>
    <row r="56" spans="2:42" ht="14.4">
      <c r="B56" s="651">
        <v>3071</v>
      </c>
      <c r="C56" s="650" t="s">
        <v>1023</v>
      </c>
      <c r="D56" s="650" t="s">
        <v>602</v>
      </c>
      <c r="E56" s="650"/>
      <c r="F56" s="649" t="str">
        <f>IF(טבלה38[[#This Row],[סה"כ]]&gt;0,טבלה38[[#This Row],[סה"כ]],"")</f>
        <v/>
      </c>
      <c r="G56" s="656">
        <v>0.17</v>
      </c>
      <c r="H56" s="655">
        <f>טבלה38[[#This Row],[מחיר]]+טבלה38[[#This Row],[% מע"מ]]*טבלה38[[#This Row],[מחיר]]</f>
        <v>0</v>
      </c>
      <c r="I56" s="630">
        <f>טבלה38[[#This Row],[סה"כ]]*טבלה38[[#This Row],[מחיר ליח'' כולל ]]</f>
        <v>0</v>
      </c>
      <c r="J56" s="655">
        <f>SUM(טבלה38[[#This Row],[פימת קפה]:[תוספות]])</f>
        <v>0</v>
      </c>
      <c r="K56" s="655">
        <f>SUMIF(טבלה11517[מקט],טבלה38[[#This Row],[קוד מוצר]],טבלה11517[כמות])</f>
        <v>0</v>
      </c>
      <c r="L56" s="655">
        <f>SUMIF(טבלה115179[מקט],טבלה38[[#This Row],[קוד מוצר]],טבלה115179[כמות])</f>
        <v>0</v>
      </c>
      <c r="M56" s="655">
        <f>SUMIF(טבלה115[מקט],טבלה38[[#This Row],[קוד מוצר]],טבלה115[כמות])</f>
        <v>0</v>
      </c>
      <c r="N56" s="655">
        <f>SUMIF(טבלה1[מק"ט],טבלה38[[#This Row],[קוד מוצר]],טבלה1[כמות])</f>
        <v>0</v>
      </c>
      <c r="O56" s="655">
        <f>SUMIF(טבלה8[מק"ט],טבלה38[[#This Row],[קוד מוצר]],טבלה8[הזמנה])</f>
        <v>0</v>
      </c>
      <c r="P56" s="655">
        <f>SUMIF(טבלה15[מק"ט],טבלה38[[#This Row],[קוד מוצר]],טבלה15[הזמנה])</f>
        <v>0</v>
      </c>
      <c r="Q56" s="655">
        <f>SUMIF(טבלה1151718[מקט],טבלה38[[#This Row],[קוד מוצר]],טבלה1151718[כמות])</f>
        <v>0</v>
      </c>
      <c r="R56" s="655">
        <f>SUMIF(טבלה125[מקט],טבלה38[[#This Row],[קוד מוצר]],טבלה125[כמות])</f>
        <v>0</v>
      </c>
      <c r="S56" s="655">
        <f>SUMIF(טבלה33[מק"ט],טבלה38[[#This Row],[קוד מוצר]],טבלה33[הזמנה])</f>
        <v>0</v>
      </c>
      <c r="T56" s="655">
        <f>SUMIF(טבלה34[עמודה1],טבלה38[[#This Row],[קוד מוצר]],טבלה34[הזמנה])</f>
        <v>0</v>
      </c>
      <c r="U56" s="655">
        <f>SUMIF(טבלה35[עמודה1],טבלה38[[#This Row],[קוד מוצר]],טבלה35[הזמנה])</f>
        <v>0</v>
      </c>
      <c r="V56" s="655">
        <f>SUMIF(טבלה3338[מק"ט],טבלה38[[#This Row],[קוד מוצר]],טבלה3338[הזמנה])</f>
        <v>0</v>
      </c>
      <c r="W56" s="655">
        <f>SUMIF(טבלה3540[עמודה1],טבלה38[[#This Row],[קוד מוצר]],טבלה3540[הזמנה])</f>
        <v>0</v>
      </c>
      <c r="X56" s="655">
        <f>SUMIF(טבלה3441[עמודה1],טבלה38[[#This Row],[קוד מוצר]],טבלה3441[הזמנה])</f>
        <v>0</v>
      </c>
      <c r="Y56" s="655">
        <f>SUMIF(טבלה24[מקט],טבלה38[[#This Row],[קוד מוצר]],טבלה24[כמות])</f>
        <v>0</v>
      </c>
      <c r="Z56" s="655">
        <f>SUMIF(טבלה628[קוד מוצר],טבלה38[[#This Row],[קוד מוצר]],טבלה628[תוספת])</f>
        <v>0</v>
      </c>
      <c r="AA56" s="610">
        <f>טבלה38[[#This Row],[פימת קפה]]*טבלה38[[#This Row],[מחיר ליח'' כולל ]]</f>
        <v>0</v>
      </c>
      <c r="AB56" s="610">
        <f>טבלה38[[#This Row],[פת שחרית]]*טבלה38[[#This Row],[מחיר ליח'' כולל ]]</f>
        <v>0</v>
      </c>
      <c r="AC56" s="610">
        <f>טבלה38[[#This Row],[א. בוקר פריסה]]*טבלה38[[#This Row],[מחיר ליח'' כולל ]]</f>
        <v>0</v>
      </c>
      <c r="AD56" s="666">
        <f>טבלה38[[#This Row],[א. צהררים פריסה ]]*טבלה38[[#This Row],[מחיר ליח'' כולל ]]</f>
        <v>0</v>
      </c>
      <c r="AE56" s="666">
        <f>טבלה38[[#This Row],[בוקר קיטים]]*טבלה38[[#This Row],[מחיר ליח'' כולל ]]</f>
        <v>0</v>
      </c>
      <c r="AF56" s="666">
        <f>טבלה38[[#This Row],[צהריים קיטים]]*טבלה38[[#This Row],[מחיר ליח'' כולל ]]</f>
        <v>0</v>
      </c>
      <c r="AG56" s="666">
        <f>טבלה38[[#This Row],[פריסת אמצע]]*טבלה38[[#This Row],[מחיר ליח'' כולל ]]</f>
        <v>0</v>
      </c>
      <c r="AH56" s="666">
        <f>טבלה38[[#This Row],[מרק]]*טבלה38[[#This Row],[מחיר ליח'' כולל ]]</f>
        <v>0</v>
      </c>
      <c r="AI56" s="666">
        <f>טבלה38[[#This Row],[ערב בישול 1]]*טבלה38[[#This Row],[מחיר ליח'' כולל ]]</f>
        <v>0</v>
      </c>
      <c r="AJ56" s="666">
        <f>טבלה38[[#This Row],[ערב בישול 2]]*טבלה38[[#This Row],[מחיר ליח'' כולל ]]</f>
        <v>0</v>
      </c>
      <c r="AK56" s="666">
        <f>טבלה38[[#This Row],[ערב בישול 3]]*טבלה38[[#This Row],[מחיר ליח'' כולל ]]</f>
        <v>0</v>
      </c>
      <c r="AL56" s="666">
        <f>טבלה38[[#This Row],[ערב קטן 1]]*טבלה38[[#This Row],[מחיר ליח'' כולל ]]</f>
        <v>0</v>
      </c>
      <c r="AM56" s="666">
        <f>טבלה38[[#This Row],[ערב קטן 2]]*טבלה38[[#This Row],[מחיר ליח'' כולל ]]</f>
        <v>0</v>
      </c>
      <c r="AN56" s="666">
        <f>טבלה38[[#This Row],[ערב קטן 3]]*טבלה38[[#This Row],[מחיר ליח'' כולל ]]</f>
        <v>0</v>
      </c>
      <c r="AO56" s="666">
        <f>טבלה38[[#This Row],[קיטים מיוחדים]]*טבלה38[[#This Row],[מחיר ליח'' כולל ]]</f>
        <v>0</v>
      </c>
      <c r="AP56" s="666">
        <f>טבלה38[[#This Row],[תוספות]]*טבלה38[[#This Row],[מחיר ליח'' כולל ]]</f>
        <v>0</v>
      </c>
    </row>
    <row r="57" spans="2:42" ht="14.4">
      <c r="B57" s="651">
        <v>3883</v>
      </c>
      <c r="C57" s="650" t="s">
        <v>1132</v>
      </c>
      <c r="D57" s="650" t="s">
        <v>602</v>
      </c>
      <c r="E57" s="650"/>
      <c r="F57" s="649" t="str">
        <f>IF(טבלה38[[#This Row],[סה"כ]]&gt;0,טבלה38[[#This Row],[סה"כ]],"")</f>
        <v/>
      </c>
      <c r="G57" s="656">
        <v>0.17</v>
      </c>
      <c r="H57" s="655">
        <f>טבלה38[[#This Row],[מחיר]]+טבלה38[[#This Row],[% מע"מ]]*טבלה38[[#This Row],[מחיר]]</f>
        <v>0</v>
      </c>
      <c r="I57" s="630">
        <f>טבלה38[[#This Row],[סה"כ]]*טבלה38[[#This Row],[מחיר ליח'' כולל ]]</f>
        <v>0</v>
      </c>
      <c r="J57" s="655">
        <f>SUM(טבלה38[[#This Row],[פימת קפה]:[תוספות]])</f>
        <v>0</v>
      </c>
      <c r="K57" s="655">
        <f>SUMIF(טבלה11517[מקט],טבלה38[[#This Row],[קוד מוצר]],טבלה11517[כמות])</f>
        <v>0</v>
      </c>
      <c r="L57" s="655">
        <f>SUMIF(טבלה115179[מקט],טבלה38[[#This Row],[קוד מוצר]],טבלה115179[כמות])</f>
        <v>0</v>
      </c>
      <c r="M57" s="655">
        <f>SUMIF(טבלה115[מקט],טבלה38[[#This Row],[קוד מוצר]],טבלה115[כמות])</f>
        <v>0</v>
      </c>
      <c r="N57" s="655">
        <f>SUMIF(טבלה1[מק"ט],טבלה38[[#This Row],[קוד מוצר]],טבלה1[כמות])</f>
        <v>0</v>
      </c>
      <c r="O57" s="655">
        <f>SUMIF(טבלה8[מק"ט],טבלה38[[#This Row],[קוד מוצר]],טבלה8[הזמנה])</f>
        <v>0</v>
      </c>
      <c r="P57" s="655">
        <f>SUMIF(טבלה15[מק"ט],טבלה38[[#This Row],[קוד מוצר]],טבלה15[הזמנה])</f>
        <v>0</v>
      </c>
      <c r="Q57" s="655">
        <f>SUMIF(טבלה1151718[מקט],טבלה38[[#This Row],[קוד מוצר]],טבלה1151718[כמות])</f>
        <v>0</v>
      </c>
      <c r="R57" s="655">
        <f>SUMIF(טבלה125[מקט],טבלה38[[#This Row],[קוד מוצר]],טבלה125[כמות])</f>
        <v>0</v>
      </c>
      <c r="S57" s="655">
        <f>SUMIF(טבלה33[מק"ט],טבלה38[[#This Row],[קוד מוצר]],טבלה33[הזמנה])</f>
        <v>0</v>
      </c>
      <c r="T57" s="655">
        <f>SUMIF(טבלה34[עמודה1],טבלה38[[#This Row],[קוד מוצר]],טבלה34[הזמנה])</f>
        <v>0</v>
      </c>
      <c r="U57" s="655">
        <f>SUMIF(טבלה35[עמודה1],טבלה38[[#This Row],[קוד מוצר]],טבלה35[הזמנה])</f>
        <v>0</v>
      </c>
      <c r="V57" s="655">
        <f>SUMIF(טבלה3338[מק"ט],טבלה38[[#This Row],[קוד מוצר]],טבלה3338[הזמנה])</f>
        <v>0</v>
      </c>
      <c r="W57" s="655">
        <f>SUMIF(טבלה3540[עמודה1],טבלה38[[#This Row],[קוד מוצר]],טבלה3540[הזמנה])</f>
        <v>0</v>
      </c>
      <c r="X57" s="655">
        <f>SUMIF(טבלה3441[עמודה1],טבלה38[[#This Row],[קוד מוצר]],טבלה3441[הזמנה])</f>
        <v>0</v>
      </c>
      <c r="Y57" s="655">
        <f>SUMIF(טבלה24[מקט],טבלה38[[#This Row],[קוד מוצר]],טבלה24[כמות])</f>
        <v>0</v>
      </c>
      <c r="Z57" s="655">
        <f>SUMIF(טבלה628[קוד מוצר],טבלה38[[#This Row],[קוד מוצר]],טבלה628[תוספת])</f>
        <v>0</v>
      </c>
      <c r="AA57" s="610">
        <f>טבלה38[[#This Row],[פימת קפה]]*טבלה38[[#This Row],[מחיר ליח'' כולל ]]</f>
        <v>0</v>
      </c>
      <c r="AB57" s="610">
        <f>טבלה38[[#This Row],[פת שחרית]]*טבלה38[[#This Row],[מחיר ליח'' כולל ]]</f>
        <v>0</v>
      </c>
      <c r="AC57" s="610">
        <f>טבלה38[[#This Row],[א. בוקר פריסה]]*טבלה38[[#This Row],[מחיר ליח'' כולל ]]</f>
        <v>0</v>
      </c>
      <c r="AD57" s="666">
        <f>טבלה38[[#This Row],[א. צהררים פריסה ]]*טבלה38[[#This Row],[מחיר ליח'' כולל ]]</f>
        <v>0</v>
      </c>
      <c r="AE57" s="666">
        <f>טבלה38[[#This Row],[בוקר קיטים]]*טבלה38[[#This Row],[מחיר ליח'' כולל ]]</f>
        <v>0</v>
      </c>
      <c r="AF57" s="666">
        <f>טבלה38[[#This Row],[צהריים קיטים]]*טבלה38[[#This Row],[מחיר ליח'' כולל ]]</f>
        <v>0</v>
      </c>
      <c r="AG57" s="666">
        <f>טבלה38[[#This Row],[פריסת אמצע]]*טבלה38[[#This Row],[מחיר ליח'' כולל ]]</f>
        <v>0</v>
      </c>
      <c r="AH57" s="666">
        <f>טבלה38[[#This Row],[מרק]]*טבלה38[[#This Row],[מחיר ליח'' כולל ]]</f>
        <v>0</v>
      </c>
      <c r="AI57" s="666">
        <f>טבלה38[[#This Row],[ערב בישול 1]]*טבלה38[[#This Row],[מחיר ליח'' כולל ]]</f>
        <v>0</v>
      </c>
      <c r="AJ57" s="666">
        <f>טבלה38[[#This Row],[ערב בישול 2]]*טבלה38[[#This Row],[מחיר ליח'' כולל ]]</f>
        <v>0</v>
      </c>
      <c r="AK57" s="666">
        <f>טבלה38[[#This Row],[ערב בישול 3]]*טבלה38[[#This Row],[מחיר ליח'' כולל ]]</f>
        <v>0</v>
      </c>
      <c r="AL57" s="666">
        <f>טבלה38[[#This Row],[ערב קטן 1]]*טבלה38[[#This Row],[מחיר ליח'' כולל ]]</f>
        <v>0</v>
      </c>
      <c r="AM57" s="666">
        <f>טבלה38[[#This Row],[ערב קטן 2]]*טבלה38[[#This Row],[מחיר ליח'' כולל ]]</f>
        <v>0</v>
      </c>
      <c r="AN57" s="666">
        <f>טבלה38[[#This Row],[ערב קטן 3]]*טבלה38[[#This Row],[מחיר ליח'' כולל ]]</f>
        <v>0</v>
      </c>
      <c r="AO57" s="666">
        <f>טבלה38[[#This Row],[קיטים מיוחדים]]*טבלה38[[#This Row],[מחיר ליח'' כולל ]]</f>
        <v>0</v>
      </c>
      <c r="AP57" s="666">
        <f>טבלה38[[#This Row],[תוספות]]*טבלה38[[#This Row],[מחיר ליח'' כולל ]]</f>
        <v>0</v>
      </c>
    </row>
    <row r="58" spans="2:42" ht="14.4">
      <c r="B58" s="651">
        <v>4370</v>
      </c>
      <c r="C58" s="650" t="s">
        <v>1151</v>
      </c>
      <c r="D58" s="650" t="s">
        <v>231</v>
      </c>
      <c r="E58" s="650"/>
      <c r="F58" s="649" t="str">
        <f>IF(טבלה38[[#This Row],[סה"כ]]&gt;0,טבלה38[[#This Row],[סה"כ]],"")</f>
        <v/>
      </c>
      <c r="G58" s="656">
        <v>0.17</v>
      </c>
      <c r="H58" s="655">
        <f>טבלה38[[#This Row],[מחיר]]+טבלה38[[#This Row],[% מע"מ]]*טבלה38[[#This Row],[מחיר]]</f>
        <v>0</v>
      </c>
      <c r="I58" s="630">
        <f>טבלה38[[#This Row],[סה"כ]]*טבלה38[[#This Row],[מחיר ליח'' כולל ]]</f>
        <v>0</v>
      </c>
      <c r="J58" s="655">
        <f>SUM(טבלה38[[#This Row],[פימת קפה]:[תוספות]])</f>
        <v>0</v>
      </c>
      <c r="K58" s="655">
        <f>SUMIF(טבלה11517[מקט],טבלה38[[#This Row],[קוד מוצר]],טבלה11517[כמות])</f>
        <v>0</v>
      </c>
      <c r="L58" s="655">
        <f>SUMIF(טבלה115179[מקט],טבלה38[[#This Row],[קוד מוצר]],טבלה115179[כמות])</f>
        <v>0</v>
      </c>
      <c r="M58" s="655">
        <f>SUMIF(טבלה115[מקט],טבלה38[[#This Row],[קוד מוצר]],טבלה115[כמות])</f>
        <v>0</v>
      </c>
      <c r="N58" s="655">
        <f>SUMIF(טבלה1[מק"ט],טבלה38[[#This Row],[קוד מוצר]],טבלה1[כמות])</f>
        <v>0</v>
      </c>
      <c r="O58" s="655">
        <f>SUMIF(טבלה8[מק"ט],טבלה38[[#This Row],[קוד מוצר]],טבלה8[הזמנה])</f>
        <v>0</v>
      </c>
      <c r="P58" s="655">
        <f>SUMIF(טבלה15[מק"ט],טבלה38[[#This Row],[קוד מוצר]],טבלה15[הזמנה])</f>
        <v>0</v>
      </c>
      <c r="Q58" s="655">
        <f>SUMIF(טבלה1151718[מקט],טבלה38[[#This Row],[קוד מוצר]],טבלה1151718[כמות])</f>
        <v>0</v>
      </c>
      <c r="R58" s="655">
        <f>SUMIF(טבלה125[מקט],טבלה38[[#This Row],[קוד מוצר]],טבלה125[כמות])</f>
        <v>0</v>
      </c>
      <c r="S58" s="655">
        <f>SUMIF(טבלה33[מק"ט],טבלה38[[#This Row],[קוד מוצר]],טבלה33[הזמנה])</f>
        <v>0</v>
      </c>
      <c r="T58" s="655">
        <f>SUMIF(טבלה34[עמודה1],טבלה38[[#This Row],[קוד מוצר]],טבלה34[הזמנה])</f>
        <v>0</v>
      </c>
      <c r="U58" s="655">
        <f>SUMIF(טבלה35[עמודה1],טבלה38[[#This Row],[קוד מוצר]],טבלה35[הזמנה])</f>
        <v>0</v>
      </c>
      <c r="V58" s="655">
        <f>SUMIF(טבלה3338[מק"ט],טבלה38[[#This Row],[קוד מוצר]],טבלה3338[הזמנה])</f>
        <v>0</v>
      </c>
      <c r="W58" s="655">
        <f>SUMIF(טבלה3540[עמודה1],טבלה38[[#This Row],[קוד מוצר]],טבלה3540[הזמנה])</f>
        <v>0</v>
      </c>
      <c r="X58" s="655">
        <f>SUMIF(טבלה3441[עמודה1],טבלה38[[#This Row],[קוד מוצר]],טבלה3441[הזמנה])</f>
        <v>0</v>
      </c>
      <c r="Y58" s="655">
        <f>SUMIF(טבלה24[מקט],טבלה38[[#This Row],[קוד מוצר]],טבלה24[כמות])</f>
        <v>0</v>
      </c>
      <c r="Z58" s="655">
        <f>SUMIF(טבלה628[קוד מוצר],טבלה38[[#This Row],[קוד מוצר]],טבלה628[תוספת])</f>
        <v>0</v>
      </c>
      <c r="AA58" s="610">
        <f>טבלה38[[#This Row],[פימת קפה]]*טבלה38[[#This Row],[מחיר ליח'' כולל ]]</f>
        <v>0</v>
      </c>
      <c r="AB58" s="610">
        <f>טבלה38[[#This Row],[פת שחרית]]*טבלה38[[#This Row],[מחיר ליח'' כולל ]]</f>
        <v>0</v>
      </c>
      <c r="AC58" s="610">
        <f>טבלה38[[#This Row],[א. בוקר פריסה]]*טבלה38[[#This Row],[מחיר ליח'' כולל ]]</f>
        <v>0</v>
      </c>
      <c r="AD58" s="666">
        <f>טבלה38[[#This Row],[א. צהררים פריסה ]]*טבלה38[[#This Row],[מחיר ליח'' כולל ]]</f>
        <v>0</v>
      </c>
      <c r="AE58" s="666">
        <f>טבלה38[[#This Row],[בוקר קיטים]]*טבלה38[[#This Row],[מחיר ליח'' כולל ]]</f>
        <v>0</v>
      </c>
      <c r="AF58" s="666">
        <f>טבלה38[[#This Row],[צהריים קיטים]]*טבלה38[[#This Row],[מחיר ליח'' כולל ]]</f>
        <v>0</v>
      </c>
      <c r="AG58" s="666">
        <f>טבלה38[[#This Row],[פריסת אמצע]]*טבלה38[[#This Row],[מחיר ליח'' כולל ]]</f>
        <v>0</v>
      </c>
      <c r="AH58" s="666">
        <f>טבלה38[[#This Row],[מרק]]*טבלה38[[#This Row],[מחיר ליח'' כולל ]]</f>
        <v>0</v>
      </c>
      <c r="AI58" s="666">
        <f>טבלה38[[#This Row],[ערב בישול 1]]*טבלה38[[#This Row],[מחיר ליח'' כולל ]]</f>
        <v>0</v>
      </c>
      <c r="AJ58" s="666">
        <f>טבלה38[[#This Row],[ערב בישול 2]]*טבלה38[[#This Row],[מחיר ליח'' כולל ]]</f>
        <v>0</v>
      </c>
      <c r="AK58" s="666">
        <f>טבלה38[[#This Row],[ערב בישול 3]]*טבלה38[[#This Row],[מחיר ליח'' כולל ]]</f>
        <v>0</v>
      </c>
      <c r="AL58" s="666">
        <f>טבלה38[[#This Row],[ערב קטן 1]]*טבלה38[[#This Row],[מחיר ליח'' כולל ]]</f>
        <v>0</v>
      </c>
      <c r="AM58" s="666">
        <f>טבלה38[[#This Row],[ערב קטן 2]]*טבלה38[[#This Row],[מחיר ליח'' כולל ]]</f>
        <v>0</v>
      </c>
      <c r="AN58" s="666">
        <f>טבלה38[[#This Row],[ערב קטן 3]]*טבלה38[[#This Row],[מחיר ליח'' כולל ]]</f>
        <v>0</v>
      </c>
      <c r="AO58" s="666">
        <f>טבלה38[[#This Row],[קיטים מיוחדים]]*טבלה38[[#This Row],[מחיר ליח'' כולל ]]</f>
        <v>0</v>
      </c>
      <c r="AP58" s="666">
        <f>טבלה38[[#This Row],[תוספות]]*טבלה38[[#This Row],[מחיר ליח'' כולל ]]</f>
        <v>0</v>
      </c>
    </row>
    <row r="59" spans="2:42" ht="14.4">
      <c r="B59" s="651">
        <v>6332</v>
      </c>
      <c r="C59" s="650" t="s">
        <v>1130</v>
      </c>
      <c r="D59" s="650" t="s">
        <v>240</v>
      </c>
      <c r="E59" s="650"/>
      <c r="F59" s="649" t="str">
        <f>IF(טבלה38[[#This Row],[סה"כ]]&gt;0,טבלה38[[#This Row],[סה"כ]],"")</f>
        <v/>
      </c>
      <c r="G59" s="656">
        <v>0.17</v>
      </c>
      <c r="H59" s="655">
        <f>טבלה38[[#This Row],[מחיר]]+טבלה38[[#This Row],[% מע"מ]]*טבלה38[[#This Row],[מחיר]]</f>
        <v>0</v>
      </c>
      <c r="I59" s="630">
        <f>טבלה38[[#This Row],[סה"כ]]*טבלה38[[#This Row],[מחיר ליח'' כולל ]]</f>
        <v>0</v>
      </c>
      <c r="J59" s="655">
        <f>SUM(טבלה38[[#This Row],[פימת קפה]:[תוספות]])</f>
        <v>0</v>
      </c>
      <c r="K59" s="655">
        <f>SUMIF(טבלה11517[מקט],טבלה38[[#This Row],[קוד מוצר]],טבלה11517[כמות])</f>
        <v>0</v>
      </c>
      <c r="L59" s="655">
        <f>SUMIF(טבלה115179[מקט],טבלה38[[#This Row],[קוד מוצר]],טבלה115179[כמות])</f>
        <v>0</v>
      </c>
      <c r="M59" s="655">
        <f>SUMIF(טבלה115[מקט],טבלה38[[#This Row],[קוד מוצר]],טבלה115[כמות])</f>
        <v>0</v>
      </c>
      <c r="N59" s="655">
        <f>SUMIF(טבלה1[מק"ט],טבלה38[[#This Row],[קוד מוצר]],טבלה1[כמות])</f>
        <v>0</v>
      </c>
      <c r="O59" s="655">
        <f>SUMIF(טבלה8[מק"ט],טבלה38[[#This Row],[קוד מוצר]],טבלה8[הזמנה])</f>
        <v>0</v>
      </c>
      <c r="P59" s="655">
        <f>SUMIF(טבלה15[מק"ט],טבלה38[[#This Row],[קוד מוצר]],טבלה15[הזמנה])</f>
        <v>0</v>
      </c>
      <c r="Q59" s="655">
        <f>SUMIF(טבלה1151718[מקט],טבלה38[[#This Row],[קוד מוצר]],טבלה1151718[כמות])</f>
        <v>0</v>
      </c>
      <c r="R59" s="655">
        <f>SUMIF(טבלה125[מקט],טבלה38[[#This Row],[קוד מוצר]],טבלה125[כמות])</f>
        <v>0</v>
      </c>
      <c r="S59" s="655">
        <f>SUMIF(טבלה33[מק"ט],טבלה38[[#This Row],[קוד מוצר]],טבלה33[הזמנה])</f>
        <v>0</v>
      </c>
      <c r="T59" s="655">
        <f>SUMIF(טבלה34[עמודה1],טבלה38[[#This Row],[קוד מוצר]],טבלה34[הזמנה])</f>
        <v>0</v>
      </c>
      <c r="U59" s="655">
        <f>SUMIF(טבלה35[עמודה1],טבלה38[[#This Row],[קוד מוצר]],טבלה35[הזמנה])</f>
        <v>0</v>
      </c>
      <c r="V59" s="655">
        <f>SUMIF(טבלה3338[מק"ט],טבלה38[[#This Row],[קוד מוצר]],טבלה3338[הזמנה])</f>
        <v>0</v>
      </c>
      <c r="W59" s="655">
        <f>SUMIF(טבלה3540[עמודה1],טבלה38[[#This Row],[קוד מוצר]],טבלה3540[הזמנה])</f>
        <v>0</v>
      </c>
      <c r="X59" s="655">
        <f>SUMIF(טבלה3441[עמודה1],טבלה38[[#This Row],[קוד מוצר]],טבלה3441[הזמנה])</f>
        <v>0</v>
      </c>
      <c r="Y59" s="655">
        <f>SUMIF(טבלה24[מקט],טבלה38[[#This Row],[קוד מוצר]],טבלה24[כמות])</f>
        <v>0</v>
      </c>
      <c r="Z59" s="655">
        <f>SUMIF(טבלה628[קוד מוצר],טבלה38[[#This Row],[קוד מוצר]],טבלה628[תוספת])</f>
        <v>0</v>
      </c>
      <c r="AA59" s="610">
        <f>טבלה38[[#This Row],[פימת קפה]]*טבלה38[[#This Row],[מחיר ליח'' כולל ]]</f>
        <v>0</v>
      </c>
      <c r="AB59" s="610">
        <f>טבלה38[[#This Row],[פת שחרית]]*טבלה38[[#This Row],[מחיר ליח'' כולל ]]</f>
        <v>0</v>
      </c>
      <c r="AC59" s="610">
        <f>טבלה38[[#This Row],[א. בוקר פריסה]]*טבלה38[[#This Row],[מחיר ליח'' כולל ]]</f>
        <v>0</v>
      </c>
      <c r="AD59" s="666">
        <f>טבלה38[[#This Row],[א. צהררים פריסה ]]*טבלה38[[#This Row],[מחיר ליח'' כולל ]]</f>
        <v>0</v>
      </c>
      <c r="AE59" s="666">
        <f>טבלה38[[#This Row],[בוקר קיטים]]*טבלה38[[#This Row],[מחיר ליח'' כולל ]]</f>
        <v>0</v>
      </c>
      <c r="AF59" s="666">
        <f>טבלה38[[#This Row],[צהריים קיטים]]*טבלה38[[#This Row],[מחיר ליח'' כולל ]]</f>
        <v>0</v>
      </c>
      <c r="AG59" s="666">
        <f>טבלה38[[#This Row],[פריסת אמצע]]*טבלה38[[#This Row],[מחיר ליח'' כולל ]]</f>
        <v>0</v>
      </c>
      <c r="AH59" s="666">
        <f>טבלה38[[#This Row],[מרק]]*טבלה38[[#This Row],[מחיר ליח'' כולל ]]</f>
        <v>0</v>
      </c>
      <c r="AI59" s="666">
        <f>טבלה38[[#This Row],[ערב בישול 1]]*טבלה38[[#This Row],[מחיר ליח'' כולל ]]</f>
        <v>0</v>
      </c>
      <c r="AJ59" s="666">
        <f>טבלה38[[#This Row],[ערב בישול 2]]*טבלה38[[#This Row],[מחיר ליח'' כולל ]]</f>
        <v>0</v>
      </c>
      <c r="AK59" s="666">
        <f>טבלה38[[#This Row],[ערב בישול 3]]*טבלה38[[#This Row],[מחיר ליח'' כולל ]]</f>
        <v>0</v>
      </c>
      <c r="AL59" s="666">
        <f>טבלה38[[#This Row],[ערב קטן 1]]*טבלה38[[#This Row],[מחיר ליח'' כולל ]]</f>
        <v>0</v>
      </c>
      <c r="AM59" s="666">
        <f>טבלה38[[#This Row],[ערב קטן 2]]*טבלה38[[#This Row],[מחיר ליח'' כולל ]]</f>
        <v>0</v>
      </c>
      <c r="AN59" s="666">
        <f>טבלה38[[#This Row],[ערב קטן 3]]*טבלה38[[#This Row],[מחיר ליח'' כולל ]]</f>
        <v>0</v>
      </c>
      <c r="AO59" s="666">
        <f>טבלה38[[#This Row],[קיטים מיוחדים]]*טבלה38[[#This Row],[מחיר ליח'' כולל ]]</f>
        <v>0</v>
      </c>
      <c r="AP59" s="666">
        <f>טבלה38[[#This Row],[תוספות]]*טבלה38[[#This Row],[מחיר ליח'' כולל ]]</f>
        <v>0</v>
      </c>
    </row>
    <row r="60" spans="2:42" ht="14.4">
      <c r="B60" s="651">
        <v>7103</v>
      </c>
      <c r="C60" s="650" t="s">
        <v>1141</v>
      </c>
      <c r="D60" s="650" t="s">
        <v>602</v>
      </c>
      <c r="E60" s="650"/>
      <c r="F60" s="649" t="str">
        <f>IF(טבלה38[[#This Row],[סה"כ]]&gt;0,טבלה38[[#This Row],[סה"כ]],"")</f>
        <v/>
      </c>
      <c r="G60" s="656">
        <v>0.17</v>
      </c>
      <c r="H60" s="655">
        <f>טבלה38[[#This Row],[מחיר]]+טבלה38[[#This Row],[% מע"מ]]*טבלה38[[#This Row],[מחיר]]</f>
        <v>0</v>
      </c>
      <c r="I60" s="630">
        <f>טבלה38[[#This Row],[סה"כ]]*טבלה38[[#This Row],[מחיר ליח'' כולל ]]</f>
        <v>0</v>
      </c>
      <c r="J60" s="655">
        <f>SUM(טבלה38[[#This Row],[פימת קפה]:[תוספות]])</f>
        <v>0</v>
      </c>
      <c r="K60" s="655">
        <f>SUMIF(טבלה11517[מקט],טבלה38[[#This Row],[קוד מוצר]],טבלה11517[כמות])</f>
        <v>0</v>
      </c>
      <c r="L60" s="655">
        <f>SUMIF(טבלה115179[מקט],טבלה38[[#This Row],[קוד מוצר]],טבלה115179[כמות])</f>
        <v>0</v>
      </c>
      <c r="M60" s="655">
        <f>SUMIF(טבלה115[מקט],טבלה38[[#This Row],[קוד מוצר]],טבלה115[כמות])</f>
        <v>0</v>
      </c>
      <c r="N60" s="655">
        <f>SUMIF(טבלה1[מק"ט],טבלה38[[#This Row],[קוד מוצר]],טבלה1[כמות])</f>
        <v>0</v>
      </c>
      <c r="O60" s="655">
        <f>SUMIF(טבלה8[מק"ט],טבלה38[[#This Row],[קוד מוצר]],טבלה8[הזמנה])</f>
        <v>0</v>
      </c>
      <c r="P60" s="655">
        <f>SUMIF(טבלה15[מק"ט],טבלה38[[#This Row],[קוד מוצר]],טבלה15[הזמנה])</f>
        <v>0</v>
      </c>
      <c r="Q60" s="655">
        <f>SUMIF(טבלה1151718[מקט],טבלה38[[#This Row],[קוד מוצר]],טבלה1151718[כמות])</f>
        <v>0</v>
      </c>
      <c r="R60" s="655">
        <f>SUMIF(טבלה125[מקט],טבלה38[[#This Row],[קוד מוצר]],טבלה125[כמות])</f>
        <v>0</v>
      </c>
      <c r="S60" s="655">
        <f>SUMIF(טבלה33[מק"ט],טבלה38[[#This Row],[קוד מוצר]],טבלה33[הזמנה])</f>
        <v>0</v>
      </c>
      <c r="T60" s="655">
        <f>SUMIF(טבלה34[עמודה1],טבלה38[[#This Row],[קוד מוצר]],טבלה34[הזמנה])</f>
        <v>0</v>
      </c>
      <c r="U60" s="655">
        <f>SUMIF(טבלה35[עמודה1],טבלה38[[#This Row],[קוד מוצר]],טבלה35[הזמנה])</f>
        <v>0</v>
      </c>
      <c r="V60" s="655">
        <f>SUMIF(טבלה3338[מק"ט],טבלה38[[#This Row],[קוד מוצר]],טבלה3338[הזמנה])</f>
        <v>0</v>
      </c>
      <c r="W60" s="655">
        <f>SUMIF(טבלה3540[עמודה1],טבלה38[[#This Row],[קוד מוצר]],טבלה3540[הזמנה])</f>
        <v>0</v>
      </c>
      <c r="X60" s="655">
        <f>SUMIF(טבלה3441[עמודה1],טבלה38[[#This Row],[קוד מוצר]],טבלה3441[הזמנה])</f>
        <v>0</v>
      </c>
      <c r="Y60" s="655">
        <f>SUMIF(טבלה24[מקט],טבלה38[[#This Row],[קוד מוצר]],טבלה24[כמות])</f>
        <v>0</v>
      </c>
      <c r="Z60" s="655">
        <f>SUMIF(טבלה628[קוד מוצר],טבלה38[[#This Row],[קוד מוצר]],טבלה628[תוספת])</f>
        <v>0</v>
      </c>
      <c r="AA60" s="610">
        <f>טבלה38[[#This Row],[פימת קפה]]*טבלה38[[#This Row],[מחיר ליח'' כולל ]]</f>
        <v>0</v>
      </c>
      <c r="AB60" s="610">
        <f>טבלה38[[#This Row],[פת שחרית]]*טבלה38[[#This Row],[מחיר ליח'' כולל ]]</f>
        <v>0</v>
      </c>
      <c r="AC60" s="610">
        <f>טבלה38[[#This Row],[א. בוקר פריסה]]*טבלה38[[#This Row],[מחיר ליח'' כולל ]]</f>
        <v>0</v>
      </c>
      <c r="AD60" s="666">
        <f>טבלה38[[#This Row],[א. צהררים פריסה ]]*טבלה38[[#This Row],[מחיר ליח'' כולל ]]</f>
        <v>0</v>
      </c>
      <c r="AE60" s="666">
        <f>טבלה38[[#This Row],[בוקר קיטים]]*טבלה38[[#This Row],[מחיר ליח'' כולל ]]</f>
        <v>0</v>
      </c>
      <c r="AF60" s="666">
        <f>טבלה38[[#This Row],[צהריים קיטים]]*טבלה38[[#This Row],[מחיר ליח'' כולל ]]</f>
        <v>0</v>
      </c>
      <c r="AG60" s="666">
        <f>טבלה38[[#This Row],[פריסת אמצע]]*טבלה38[[#This Row],[מחיר ליח'' כולל ]]</f>
        <v>0</v>
      </c>
      <c r="AH60" s="666">
        <f>טבלה38[[#This Row],[מרק]]*טבלה38[[#This Row],[מחיר ליח'' כולל ]]</f>
        <v>0</v>
      </c>
      <c r="AI60" s="666">
        <f>טבלה38[[#This Row],[ערב בישול 1]]*טבלה38[[#This Row],[מחיר ליח'' כולל ]]</f>
        <v>0</v>
      </c>
      <c r="AJ60" s="666">
        <f>טבלה38[[#This Row],[ערב בישול 2]]*טבלה38[[#This Row],[מחיר ליח'' כולל ]]</f>
        <v>0</v>
      </c>
      <c r="AK60" s="666">
        <f>טבלה38[[#This Row],[ערב בישול 3]]*טבלה38[[#This Row],[מחיר ליח'' כולל ]]</f>
        <v>0</v>
      </c>
      <c r="AL60" s="666">
        <f>טבלה38[[#This Row],[ערב קטן 1]]*טבלה38[[#This Row],[מחיר ליח'' כולל ]]</f>
        <v>0</v>
      </c>
      <c r="AM60" s="666">
        <f>טבלה38[[#This Row],[ערב קטן 2]]*טבלה38[[#This Row],[מחיר ליח'' כולל ]]</f>
        <v>0</v>
      </c>
      <c r="AN60" s="666">
        <f>טבלה38[[#This Row],[ערב קטן 3]]*טבלה38[[#This Row],[מחיר ליח'' כולל ]]</f>
        <v>0</v>
      </c>
      <c r="AO60" s="666">
        <f>טבלה38[[#This Row],[קיטים מיוחדים]]*טבלה38[[#This Row],[מחיר ליח'' כולל ]]</f>
        <v>0</v>
      </c>
      <c r="AP60" s="666">
        <f>טבלה38[[#This Row],[תוספות]]*טבלה38[[#This Row],[מחיר ליח'' כולל ]]</f>
        <v>0</v>
      </c>
    </row>
    <row r="61" spans="2:42" ht="14.4">
      <c r="B61" s="651">
        <v>9107</v>
      </c>
      <c r="C61" s="650" t="s">
        <v>1031</v>
      </c>
      <c r="E61" s="650"/>
      <c r="F61" s="649" t="str">
        <f>IF(טבלה38[[#This Row],[סה"כ]]&gt;0,טבלה38[[#This Row],[סה"כ]],"")</f>
        <v/>
      </c>
      <c r="G61" s="656">
        <v>0.17</v>
      </c>
      <c r="H61" s="655">
        <f>טבלה38[[#This Row],[מחיר]]+טבלה38[[#This Row],[% מע"מ]]*טבלה38[[#This Row],[מחיר]]</f>
        <v>0</v>
      </c>
      <c r="I61" s="630">
        <f>טבלה38[[#This Row],[סה"כ]]*טבלה38[[#This Row],[מחיר ליח'' כולל ]]</f>
        <v>0</v>
      </c>
      <c r="J61" s="655">
        <f>SUM(טבלה38[[#This Row],[פימת קפה]:[תוספות]])</f>
        <v>0</v>
      </c>
      <c r="K61" s="655">
        <f>SUMIF(טבלה11517[מקט],טבלה38[[#This Row],[קוד מוצר]],טבלה11517[כמות])</f>
        <v>0</v>
      </c>
      <c r="L61" s="655">
        <f>SUMIF(טבלה115179[מקט],טבלה38[[#This Row],[קוד מוצר]],טבלה115179[כמות])</f>
        <v>0</v>
      </c>
      <c r="M61" s="655">
        <f>SUMIF(טבלה115[מקט],טבלה38[[#This Row],[קוד מוצר]],טבלה115[כמות])</f>
        <v>0</v>
      </c>
      <c r="N61" s="655">
        <f>SUMIF(טבלה1[מק"ט],טבלה38[[#This Row],[קוד מוצר]],טבלה1[כמות])</f>
        <v>0</v>
      </c>
      <c r="O61" s="655">
        <f>SUMIF(טבלה8[מק"ט],טבלה38[[#This Row],[קוד מוצר]],טבלה8[הזמנה])</f>
        <v>0</v>
      </c>
      <c r="P61" s="655">
        <f>SUMIF(טבלה15[מק"ט],טבלה38[[#This Row],[קוד מוצר]],טבלה15[הזמנה])</f>
        <v>0</v>
      </c>
      <c r="Q61" s="655">
        <f>SUMIF(טבלה1151718[מקט],טבלה38[[#This Row],[קוד מוצר]],טבלה1151718[כמות])</f>
        <v>0</v>
      </c>
      <c r="R61" s="655">
        <f>SUMIF(טבלה125[מקט],טבלה38[[#This Row],[קוד מוצר]],טבלה125[כמות])</f>
        <v>0</v>
      </c>
      <c r="S61" s="655">
        <f>SUMIF(טבלה33[מק"ט],טבלה38[[#This Row],[קוד מוצר]],טבלה33[הזמנה])</f>
        <v>0</v>
      </c>
      <c r="T61" s="655">
        <f>SUMIF(טבלה34[עמודה1],טבלה38[[#This Row],[קוד מוצר]],טבלה34[הזמנה])</f>
        <v>0</v>
      </c>
      <c r="U61" s="655">
        <f>SUMIF(טבלה35[עמודה1],טבלה38[[#This Row],[קוד מוצר]],טבלה35[הזמנה])</f>
        <v>0</v>
      </c>
      <c r="V61" s="655">
        <f>SUMIF(טבלה3338[מק"ט],טבלה38[[#This Row],[קוד מוצר]],טבלה3338[הזמנה])</f>
        <v>0</v>
      </c>
      <c r="W61" s="655">
        <f>SUMIF(טבלה3540[עמודה1],טבלה38[[#This Row],[קוד מוצר]],טבלה3540[הזמנה])</f>
        <v>0</v>
      </c>
      <c r="X61" s="655">
        <f>SUMIF(טבלה3441[עמודה1],טבלה38[[#This Row],[קוד מוצר]],טבלה3441[הזמנה])</f>
        <v>0</v>
      </c>
      <c r="Y61" s="655">
        <f>SUMIF(טבלה24[מקט],טבלה38[[#This Row],[קוד מוצר]],טבלה24[כמות])</f>
        <v>0</v>
      </c>
      <c r="Z61" s="655">
        <f>SUMIF(טבלה628[קוד מוצר],טבלה38[[#This Row],[קוד מוצר]],טבלה628[תוספת])</f>
        <v>0</v>
      </c>
      <c r="AA61" s="610">
        <f>טבלה38[[#This Row],[פימת קפה]]*טבלה38[[#This Row],[מחיר ליח'' כולל ]]</f>
        <v>0</v>
      </c>
      <c r="AB61" s="610">
        <f>טבלה38[[#This Row],[פת שחרית]]*טבלה38[[#This Row],[מחיר ליח'' כולל ]]</f>
        <v>0</v>
      </c>
      <c r="AC61" s="610">
        <f>טבלה38[[#This Row],[א. בוקר פריסה]]*טבלה38[[#This Row],[מחיר ליח'' כולל ]]</f>
        <v>0</v>
      </c>
      <c r="AD61" s="666">
        <f>טבלה38[[#This Row],[א. צהררים פריסה ]]*טבלה38[[#This Row],[מחיר ליח'' כולל ]]</f>
        <v>0</v>
      </c>
      <c r="AE61" s="666">
        <f>טבלה38[[#This Row],[בוקר קיטים]]*טבלה38[[#This Row],[מחיר ליח'' כולל ]]</f>
        <v>0</v>
      </c>
      <c r="AF61" s="666">
        <f>טבלה38[[#This Row],[צהריים קיטים]]*טבלה38[[#This Row],[מחיר ליח'' כולל ]]</f>
        <v>0</v>
      </c>
      <c r="AG61" s="666">
        <f>טבלה38[[#This Row],[פריסת אמצע]]*טבלה38[[#This Row],[מחיר ליח'' כולל ]]</f>
        <v>0</v>
      </c>
      <c r="AH61" s="666">
        <f>טבלה38[[#This Row],[מרק]]*טבלה38[[#This Row],[מחיר ליח'' כולל ]]</f>
        <v>0</v>
      </c>
      <c r="AI61" s="666">
        <f>טבלה38[[#This Row],[ערב בישול 1]]*טבלה38[[#This Row],[מחיר ליח'' כולל ]]</f>
        <v>0</v>
      </c>
      <c r="AJ61" s="666">
        <f>טבלה38[[#This Row],[ערב בישול 2]]*טבלה38[[#This Row],[מחיר ליח'' כולל ]]</f>
        <v>0</v>
      </c>
      <c r="AK61" s="666">
        <f>טבלה38[[#This Row],[ערב בישול 3]]*טבלה38[[#This Row],[מחיר ליח'' כולל ]]</f>
        <v>0</v>
      </c>
      <c r="AL61" s="666">
        <f>טבלה38[[#This Row],[ערב קטן 1]]*טבלה38[[#This Row],[מחיר ליח'' כולל ]]</f>
        <v>0</v>
      </c>
      <c r="AM61" s="666">
        <f>טבלה38[[#This Row],[ערב קטן 2]]*טבלה38[[#This Row],[מחיר ליח'' כולל ]]</f>
        <v>0</v>
      </c>
      <c r="AN61" s="666">
        <f>טבלה38[[#This Row],[ערב קטן 3]]*טבלה38[[#This Row],[מחיר ליח'' כולל ]]</f>
        <v>0</v>
      </c>
      <c r="AO61" s="666">
        <f>טבלה38[[#This Row],[קיטים מיוחדים]]*טבלה38[[#This Row],[מחיר ליח'' כולל ]]</f>
        <v>0</v>
      </c>
      <c r="AP61" s="666">
        <f>טבלה38[[#This Row],[תוספות]]*טבלה38[[#This Row],[מחיר ליח'' כולל ]]</f>
        <v>0</v>
      </c>
    </row>
    <row r="62" spans="2:42" ht="14.4">
      <c r="B62" s="651">
        <v>9503</v>
      </c>
      <c r="C62" s="650" t="s">
        <v>1019</v>
      </c>
      <c r="D62" s="650" t="s">
        <v>602</v>
      </c>
      <c r="E62" s="650"/>
      <c r="F62" s="649" t="str">
        <f>IF(טבלה38[[#This Row],[סה"כ]]&gt;0,טבלה38[[#This Row],[סה"כ]],"")</f>
        <v/>
      </c>
      <c r="G62" s="656">
        <v>0.17</v>
      </c>
      <c r="H62" s="655">
        <f>טבלה38[[#This Row],[מחיר]]+טבלה38[[#This Row],[% מע"מ]]*טבלה38[[#This Row],[מחיר]]</f>
        <v>0</v>
      </c>
      <c r="I62" s="630">
        <f>טבלה38[[#This Row],[סה"כ]]*טבלה38[[#This Row],[מחיר ליח'' כולל ]]</f>
        <v>0</v>
      </c>
      <c r="J62" s="655">
        <f>SUM(טבלה38[[#This Row],[פימת קפה]:[תוספות]])</f>
        <v>0</v>
      </c>
      <c r="K62" s="655">
        <f>SUMIF(טבלה11517[מקט],טבלה38[[#This Row],[קוד מוצר]],טבלה11517[כמות])</f>
        <v>0</v>
      </c>
      <c r="L62" s="655">
        <f>SUMIF(טבלה115179[מקט],טבלה38[[#This Row],[קוד מוצר]],טבלה115179[כמות])</f>
        <v>0</v>
      </c>
      <c r="M62" s="655">
        <f>SUMIF(טבלה115[מקט],טבלה38[[#This Row],[קוד מוצר]],טבלה115[כמות])</f>
        <v>0</v>
      </c>
      <c r="N62" s="655">
        <f>SUMIF(טבלה1[מק"ט],טבלה38[[#This Row],[קוד מוצר]],טבלה1[כמות])</f>
        <v>0</v>
      </c>
      <c r="O62" s="655">
        <f>SUMIF(טבלה8[מק"ט],טבלה38[[#This Row],[קוד מוצר]],טבלה8[הזמנה])</f>
        <v>0</v>
      </c>
      <c r="P62" s="655">
        <f>SUMIF(טבלה15[מק"ט],טבלה38[[#This Row],[קוד מוצר]],טבלה15[הזמנה])</f>
        <v>0</v>
      </c>
      <c r="Q62" s="655">
        <f>SUMIF(טבלה1151718[מקט],טבלה38[[#This Row],[קוד מוצר]],טבלה1151718[כמות])</f>
        <v>0</v>
      </c>
      <c r="R62" s="655">
        <f>SUMIF(טבלה125[מקט],טבלה38[[#This Row],[קוד מוצר]],טבלה125[כמות])</f>
        <v>0</v>
      </c>
      <c r="S62" s="655">
        <f>SUMIF(טבלה33[מק"ט],טבלה38[[#This Row],[קוד מוצר]],טבלה33[הזמנה])</f>
        <v>0</v>
      </c>
      <c r="T62" s="655">
        <f>SUMIF(טבלה34[עמודה1],טבלה38[[#This Row],[קוד מוצר]],טבלה34[הזמנה])</f>
        <v>0</v>
      </c>
      <c r="U62" s="655">
        <f>SUMIF(טבלה35[עמודה1],טבלה38[[#This Row],[קוד מוצר]],טבלה35[הזמנה])</f>
        <v>0</v>
      </c>
      <c r="V62" s="655">
        <f>SUMIF(טבלה3338[מק"ט],טבלה38[[#This Row],[קוד מוצר]],טבלה3338[הזמנה])</f>
        <v>0</v>
      </c>
      <c r="W62" s="655">
        <f>SUMIF(טבלה3540[עמודה1],טבלה38[[#This Row],[קוד מוצר]],טבלה3540[הזמנה])</f>
        <v>0</v>
      </c>
      <c r="X62" s="655">
        <f>SUMIF(טבלה3441[עמודה1],טבלה38[[#This Row],[קוד מוצר]],טבלה3441[הזמנה])</f>
        <v>0</v>
      </c>
      <c r="Y62" s="655">
        <f>SUMIF(טבלה24[מקט],טבלה38[[#This Row],[קוד מוצר]],טבלה24[כמות])</f>
        <v>0</v>
      </c>
      <c r="Z62" s="655">
        <f>SUMIF(טבלה628[קוד מוצר],טבלה38[[#This Row],[קוד מוצר]],טבלה628[תוספת])</f>
        <v>0</v>
      </c>
      <c r="AA62" s="610">
        <f>טבלה38[[#This Row],[פימת קפה]]*טבלה38[[#This Row],[מחיר ליח'' כולל ]]</f>
        <v>0</v>
      </c>
      <c r="AB62" s="610">
        <f>טבלה38[[#This Row],[פת שחרית]]*טבלה38[[#This Row],[מחיר ליח'' כולל ]]</f>
        <v>0</v>
      </c>
      <c r="AC62" s="610">
        <f>טבלה38[[#This Row],[א. בוקר פריסה]]*טבלה38[[#This Row],[מחיר ליח'' כולל ]]</f>
        <v>0</v>
      </c>
      <c r="AD62" s="666">
        <f>טבלה38[[#This Row],[א. צהררים פריסה ]]*טבלה38[[#This Row],[מחיר ליח'' כולל ]]</f>
        <v>0</v>
      </c>
      <c r="AE62" s="666">
        <f>טבלה38[[#This Row],[בוקר קיטים]]*טבלה38[[#This Row],[מחיר ליח'' כולל ]]</f>
        <v>0</v>
      </c>
      <c r="AF62" s="666">
        <f>טבלה38[[#This Row],[צהריים קיטים]]*טבלה38[[#This Row],[מחיר ליח'' כולל ]]</f>
        <v>0</v>
      </c>
      <c r="AG62" s="666">
        <f>טבלה38[[#This Row],[פריסת אמצע]]*טבלה38[[#This Row],[מחיר ליח'' כולל ]]</f>
        <v>0</v>
      </c>
      <c r="AH62" s="666">
        <f>טבלה38[[#This Row],[מרק]]*טבלה38[[#This Row],[מחיר ליח'' כולל ]]</f>
        <v>0</v>
      </c>
      <c r="AI62" s="666">
        <f>טבלה38[[#This Row],[ערב בישול 1]]*טבלה38[[#This Row],[מחיר ליח'' כולל ]]</f>
        <v>0</v>
      </c>
      <c r="AJ62" s="666">
        <f>טבלה38[[#This Row],[ערב בישול 2]]*טבלה38[[#This Row],[מחיר ליח'' כולל ]]</f>
        <v>0</v>
      </c>
      <c r="AK62" s="666">
        <f>טבלה38[[#This Row],[ערב בישול 3]]*טבלה38[[#This Row],[מחיר ליח'' כולל ]]</f>
        <v>0</v>
      </c>
      <c r="AL62" s="666">
        <f>טבלה38[[#This Row],[ערב קטן 1]]*טבלה38[[#This Row],[מחיר ליח'' כולל ]]</f>
        <v>0</v>
      </c>
      <c r="AM62" s="666">
        <f>טבלה38[[#This Row],[ערב קטן 2]]*טבלה38[[#This Row],[מחיר ליח'' כולל ]]</f>
        <v>0</v>
      </c>
      <c r="AN62" s="666">
        <f>טבלה38[[#This Row],[ערב קטן 3]]*טבלה38[[#This Row],[מחיר ליח'' כולל ]]</f>
        <v>0</v>
      </c>
      <c r="AO62" s="666">
        <f>טבלה38[[#This Row],[קיטים מיוחדים]]*טבלה38[[#This Row],[מחיר ליח'' כולל ]]</f>
        <v>0</v>
      </c>
      <c r="AP62" s="666">
        <f>טבלה38[[#This Row],[תוספות]]*טבלה38[[#This Row],[מחיר ליח'' כולל ]]</f>
        <v>0</v>
      </c>
    </row>
    <row r="63" spans="2:42" ht="14.4">
      <c r="B63" s="651">
        <v>7915</v>
      </c>
      <c r="C63" s="650" t="s">
        <v>1118</v>
      </c>
      <c r="D63" s="650" t="s">
        <v>231</v>
      </c>
      <c r="E63" s="650"/>
      <c r="F63" s="649" t="str">
        <f>IF(טבלה38[[#This Row],[סה"כ]]&gt;0,טבלה38[[#This Row],[סה"כ]],"")</f>
        <v/>
      </c>
      <c r="G63" s="656">
        <v>0.17</v>
      </c>
      <c r="H63" s="655">
        <f>טבלה38[[#This Row],[מחיר]]+טבלה38[[#This Row],[% מע"מ]]*טבלה38[[#This Row],[מחיר]]</f>
        <v>0</v>
      </c>
      <c r="I63" s="630">
        <f>טבלה38[[#This Row],[סה"כ]]*טבלה38[[#This Row],[מחיר ליח'' כולל ]]</f>
        <v>0</v>
      </c>
      <c r="J63" s="655">
        <f>SUM(טבלה38[[#This Row],[פימת קפה]:[תוספות]])</f>
        <v>0</v>
      </c>
      <c r="K63" s="655">
        <f>SUMIF(טבלה11517[מקט],טבלה38[[#This Row],[קוד מוצר]],טבלה11517[כמות])</f>
        <v>0</v>
      </c>
      <c r="L63" s="655">
        <f>SUMIF(טבלה115179[מקט],טבלה38[[#This Row],[קוד מוצר]],טבלה115179[כמות])</f>
        <v>0</v>
      </c>
      <c r="M63" s="655">
        <f>SUMIF(טבלה115[מקט],טבלה38[[#This Row],[קוד מוצר]],טבלה115[כמות])</f>
        <v>0</v>
      </c>
      <c r="N63" s="655">
        <f>SUMIF(טבלה1[מק"ט],טבלה38[[#This Row],[קוד מוצר]],טבלה1[כמות])</f>
        <v>0</v>
      </c>
      <c r="O63" s="655">
        <f>SUMIF(טבלה8[מק"ט],טבלה38[[#This Row],[קוד מוצר]],טבלה8[הזמנה])</f>
        <v>0</v>
      </c>
      <c r="P63" s="655">
        <f>SUMIF(טבלה15[מק"ט],טבלה38[[#This Row],[קוד מוצר]],טבלה15[הזמנה])</f>
        <v>0</v>
      </c>
      <c r="Q63" s="655">
        <f>SUMIF(טבלה1151718[מקט],טבלה38[[#This Row],[קוד מוצר]],טבלה1151718[כמות])</f>
        <v>0</v>
      </c>
      <c r="R63" s="655">
        <f>SUMIF(טבלה125[מקט],טבלה38[[#This Row],[קוד מוצר]],טבלה125[כמות])</f>
        <v>0</v>
      </c>
      <c r="S63" s="655">
        <f>SUMIF(טבלה33[מק"ט],טבלה38[[#This Row],[קוד מוצר]],טבלה33[הזמנה])</f>
        <v>0</v>
      </c>
      <c r="T63" s="655">
        <f>SUMIF(טבלה34[עמודה1],טבלה38[[#This Row],[קוד מוצר]],טבלה34[הזמנה])</f>
        <v>0</v>
      </c>
      <c r="U63" s="655">
        <f>SUMIF(טבלה35[עמודה1],טבלה38[[#This Row],[קוד מוצר]],טבלה35[הזמנה])</f>
        <v>0</v>
      </c>
      <c r="V63" s="655">
        <f>SUMIF(טבלה3338[מק"ט],טבלה38[[#This Row],[קוד מוצר]],טבלה3338[הזמנה])</f>
        <v>0</v>
      </c>
      <c r="W63" s="655">
        <f>SUMIF(טבלה3540[עמודה1],טבלה38[[#This Row],[קוד מוצר]],טבלה3540[הזמנה])</f>
        <v>0</v>
      </c>
      <c r="X63" s="655">
        <f>SUMIF(טבלה3441[עמודה1],טבלה38[[#This Row],[קוד מוצר]],טבלה3441[הזמנה])</f>
        <v>0</v>
      </c>
      <c r="Y63" s="655">
        <f>SUMIF(טבלה24[מקט],טבלה38[[#This Row],[קוד מוצר]],טבלה24[כמות])</f>
        <v>0</v>
      </c>
      <c r="Z63" s="655">
        <f>SUMIF(טבלה628[קוד מוצר],טבלה38[[#This Row],[קוד מוצר]],טבלה628[תוספת])</f>
        <v>0</v>
      </c>
      <c r="AA63" s="610">
        <f>טבלה38[[#This Row],[פימת קפה]]*טבלה38[[#This Row],[מחיר ליח'' כולל ]]</f>
        <v>0</v>
      </c>
      <c r="AB63" s="610">
        <f>טבלה38[[#This Row],[פת שחרית]]*טבלה38[[#This Row],[מחיר ליח'' כולל ]]</f>
        <v>0</v>
      </c>
      <c r="AC63" s="610">
        <f>טבלה38[[#This Row],[א. בוקר פריסה]]*טבלה38[[#This Row],[מחיר ליח'' כולל ]]</f>
        <v>0</v>
      </c>
      <c r="AD63" s="666">
        <f>טבלה38[[#This Row],[א. צהררים פריסה ]]*טבלה38[[#This Row],[מחיר ליח'' כולל ]]</f>
        <v>0</v>
      </c>
      <c r="AE63" s="666">
        <f>טבלה38[[#This Row],[בוקר קיטים]]*טבלה38[[#This Row],[מחיר ליח'' כולל ]]</f>
        <v>0</v>
      </c>
      <c r="AF63" s="666">
        <f>טבלה38[[#This Row],[צהריים קיטים]]*טבלה38[[#This Row],[מחיר ליח'' כולל ]]</f>
        <v>0</v>
      </c>
      <c r="AG63" s="666">
        <f>טבלה38[[#This Row],[פריסת אמצע]]*טבלה38[[#This Row],[מחיר ליח'' כולל ]]</f>
        <v>0</v>
      </c>
      <c r="AH63" s="666">
        <f>טבלה38[[#This Row],[מרק]]*טבלה38[[#This Row],[מחיר ליח'' כולל ]]</f>
        <v>0</v>
      </c>
      <c r="AI63" s="666">
        <f>טבלה38[[#This Row],[ערב בישול 1]]*טבלה38[[#This Row],[מחיר ליח'' כולל ]]</f>
        <v>0</v>
      </c>
      <c r="AJ63" s="666">
        <f>טבלה38[[#This Row],[ערב בישול 2]]*טבלה38[[#This Row],[מחיר ליח'' כולל ]]</f>
        <v>0</v>
      </c>
      <c r="AK63" s="666">
        <f>טבלה38[[#This Row],[ערב בישול 3]]*טבלה38[[#This Row],[מחיר ליח'' כולל ]]</f>
        <v>0</v>
      </c>
      <c r="AL63" s="666">
        <f>טבלה38[[#This Row],[ערב קטן 1]]*טבלה38[[#This Row],[מחיר ליח'' כולל ]]</f>
        <v>0</v>
      </c>
      <c r="AM63" s="666">
        <f>טבלה38[[#This Row],[ערב קטן 2]]*טבלה38[[#This Row],[מחיר ליח'' כולל ]]</f>
        <v>0</v>
      </c>
      <c r="AN63" s="666">
        <f>טבלה38[[#This Row],[ערב קטן 3]]*טבלה38[[#This Row],[מחיר ליח'' כולל ]]</f>
        <v>0</v>
      </c>
      <c r="AO63" s="666">
        <f>טבלה38[[#This Row],[קיטים מיוחדים]]*טבלה38[[#This Row],[מחיר ליח'' כולל ]]</f>
        <v>0</v>
      </c>
      <c r="AP63" s="666">
        <f>טבלה38[[#This Row],[תוספות]]*טבלה38[[#This Row],[מחיר ליח'' כולל ]]</f>
        <v>0</v>
      </c>
    </row>
    <row r="64" spans="2:42" ht="14.4">
      <c r="B64" s="651">
        <v>2363</v>
      </c>
      <c r="C64" s="650" t="s">
        <v>1018</v>
      </c>
      <c r="D64" s="650" t="s">
        <v>602</v>
      </c>
      <c r="E64" s="650"/>
      <c r="F64" s="649" t="str">
        <f>IF(טבלה38[[#This Row],[סה"כ]]&gt;0,טבלה38[[#This Row],[סה"כ]],"")</f>
        <v/>
      </c>
      <c r="G64" s="656">
        <v>0.17</v>
      </c>
      <c r="H64" s="655">
        <f>טבלה38[[#This Row],[מחיר]]+טבלה38[[#This Row],[% מע"מ]]*טבלה38[[#This Row],[מחיר]]</f>
        <v>0</v>
      </c>
      <c r="I64" s="630">
        <f>טבלה38[[#This Row],[סה"כ]]*טבלה38[[#This Row],[מחיר ליח'' כולל ]]</f>
        <v>0</v>
      </c>
      <c r="J64" s="655">
        <f>SUM(טבלה38[[#This Row],[פימת קפה]:[תוספות]])</f>
        <v>0</v>
      </c>
      <c r="K64" s="655">
        <f>SUMIF(טבלה11517[מקט],טבלה38[[#This Row],[קוד מוצר]],טבלה11517[כמות])</f>
        <v>0</v>
      </c>
      <c r="L64" s="655">
        <f>SUMIF(טבלה115179[מקט],טבלה38[[#This Row],[קוד מוצר]],טבלה115179[כמות])</f>
        <v>0</v>
      </c>
      <c r="M64" s="655">
        <f>SUMIF(טבלה115[מקט],טבלה38[[#This Row],[קוד מוצר]],טבלה115[כמות])</f>
        <v>0</v>
      </c>
      <c r="N64" s="655">
        <f>SUMIF(טבלה1[מק"ט],טבלה38[[#This Row],[קוד מוצר]],טבלה1[כמות])</f>
        <v>0</v>
      </c>
      <c r="O64" s="655">
        <f>SUMIF(טבלה8[מק"ט],טבלה38[[#This Row],[קוד מוצר]],טבלה8[הזמנה])</f>
        <v>0</v>
      </c>
      <c r="P64" s="655">
        <f>SUMIF(טבלה15[מק"ט],טבלה38[[#This Row],[קוד מוצר]],טבלה15[הזמנה])</f>
        <v>0</v>
      </c>
      <c r="Q64" s="655">
        <f>SUMIF(טבלה1151718[מקט],טבלה38[[#This Row],[קוד מוצר]],טבלה1151718[כמות])</f>
        <v>0</v>
      </c>
      <c r="R64" s="655">
        <f>SUMIF(טבלה125[מקט],טבלה38[[#This Row],[קוד מוצר]],טבלה125[כמות])</f>
        <v>0</v>
      </c>
      <c r="S64" s="655">
        <f>SUMIF(טבלה33[מק"ט],טבלה38[[#This Row],[קוד מוצר]],טבלה33[הזמנה])</f>
        <v>0</v>
      </c>
      <c r="T64" s="655">
        <f>SUMIF(טבלה34[עמודה1],טבלה38[[#This Row],[קוד מוצר]],טבלה34[הזמנה])</f>
        <v>0</v>
      </c>
      <c r="U64" s="655">
        <f>SUMIF(טבלה35[עמודה1],טבלה38[[#This Row],[קוד מוצר]],טבלה35[הזמנה])</f>
        <v>0</v>
      </c>
      <c r="V64" s="655">
        <f>SUMIF(טבלה3338[מק"ט],טבלה38[[#This Row],[קוד מוצר]],טבלה3338[הזמנה])</f>
        <v>0</v>
      </c>
      <c r="W64" s="655">
        <f>SUMIF(טבלה3540[עמודה1],טבלה38[[#This Row],[קוד מוצר]],טבלה3540[הזמנה])</f>
        <v>0</v>
      </c>
      <c r="X64" s="655">
        <f>SUMIF(טבלה3441[עמודה1],טבלה38[[#This Row],[קוד מוצר]],טבלה3441[הזמנה])</f>
        <v>0</v>
      </c>
      <c r="Y64" s="655">
        <f>SUMIF(טבלה24[מקט],טבלה38[[#This Row],[קוד מוצר]],טבלה24[כמות])</f>
        <v>0</v>
      </c>
      <c r="Z64" s="655">
        <f>SUMIF(טבלה628[קוד מוצר],טבלה38[[#This Row],[קוד מוצר]],טבלה628[תוספת])</f>
        <v>0</v>
      </c>
      <c r="AA64" s="610">
        <f>טבלה38[[#This Row],[פימת קפה]]*טבלה38[[#This Row],[מחיר ליח'' כולל ]]</f>
        <v>0</v>
      </c>
      <c r="AB64" s="610">
        <f>טבלה38[[#This Row],[פת שחרית]]*טבלה38[[#This Row],[מחיר ליח'' כולל ]]</f>
        <v>0</v>
      </c>
      <c r="AC64" s="610">
        <f>טבלה38[[#This Row],[א. בוקר פריסה]]*טבלה38[[#This Row],[מחיר ליח'' כולל ]]</f>
        <v>0</v>
      </c>
      <c r="AD64" s="666">
        <f>טבלה38[[#This Row],[א. צהררים פריסה ]]*טבלה38[[#This Row],[מחיר ליח'' כולל ]]</f>
        <v>0</v>
      </c>
      <c r="AE64" s="666">
        <f>טבלה38[[#This Row],[בוקר קיטים]]*טבלה38[[#This Row],[מחיר ליח'' כולל ]]</f>
        <v>0</v>
      </c>
      <c r="AF64" s="666">
        <f>טבלה38[[#This Row],[צהריים קיטים]]*טבלה38[[#This Row],[מחיר ליח'' כולל ]]</f>
        <v>0</v>
      </c>
      <c r="AG64" s="666">
        <f>טבלה38[[#This Row],[פריסת אמצע]]*טבלה38[[#This Row],[מחיר ליח'' כולל ]]</f>
        <v>0</v>
      </c>
      <c r="AH64" s="666">
        <f>טבלה38[[#This Row],[מרק]]*טבלה38[[#This Row],[מחיר ליח'' כולל ]]</f>
        <v>0</v>
      </c>
      <c r="AI64" s="666">
        <f>טבלה38[[#This Row],[ערב בישול 1]]*טבלה38[[#This Row],[מחיר ליח'' כולל ]]</f>
        <v>0</v>
      </c>
      <c r="AJ64" s="666">
        <f>טבלה38[[#This Row],[ערב בישול 2]]*טבלה38[[#This Row],[מחיר ליח'' כולל ]]</f>
        <v>0</v>
      </c>
      <c r="AK64" s="666">
        <f>טבלה38[[#This Row],[ערב בישול 3]]*טבלה38[[#This Row],[מחיר ליח'' כולל ]]</f>
        <v>0</v>
      </c>
      <c r="AL64" s="666">
        <f>טבלה38[[#This Row],[ערב קטן 1]]*טבלה38[[#This Row],[מחיר ליח'' כולל ]]</f>
        <v>0</v>
      </c>
      <c r="AM64" s="666">
        <f>טבלה38[[#This Row],[ערב קטן 2]]*טבלה38[[#This Row],[מחיר ליח'' כולל ]]</f>
        <v>0</v>
      </c>
      <c r="AN64" s="666">
        <f>טבלה38[[#This Row],[ערב קטן 3]]*טבלה38[[#This Row],[מחיר ליח'' כולל ]]</f>
        <v>0</v>
      </c>
      <c r="AO64" s="666">
        <f>טבלה38[[#This Row],[קיטים מיוחדים]]*טבלה38[[#This Row],[מחיר ליח'' כולל ]]</f>
        <v>0</v>
      </c>
      <c r="AP64" s="666">
        <f>טבלה38[[#This Row],[תוספות]]*טבלה38[[#This Row],[מחיר ליח'' כולל ]]</f>
        <v>0</v>
      </c>
    </row>
    <row r="65" spans="2:42" ht="14.4">
      <c r="B65" s="651">
        <v>4879</v>
      </c>
      <c r="C65" s="650" t="s">
        <v>1149</v>
      </c>
      <c r="D65" s="650" t="s">
        <v>602</v>
      </c>
      <c r="E65" s="650"/>
      <c r="F65" s="649" t="str">
        <f>IF(טבלה38[[#This Row],[סה"כ]]&gt;0,טבלה38[[#This Row],[סה"כ]],"")</f>
        <v/>
      </c>
      <c r="G65" s="656">
        <v>0.17</v>
      </c>
      <c r="H65" s="655">
        <f>טבלה38[[#This Row],[מחיר]]+טבלה38[[#This Row],[% מע"מ]]*טבלה38[[#This Row],[מחיר]]</f>
        <v>0</v>
      </c>
      <c r="I65" s="630">
        <f>טבלה38[[#This Row],[סה"כ]]*טבלה38[[#This Row],[מחיר ליח'' כולל ]]</f>
        <v>0</v>
      </c>
      <c r="J65" s="655">
        <f>SUM(טבלה38[[#This Row],[פימת קפה]:[תוספות]])</f>
        <v>0</v>
      </c>
      <c r="K65" s="655">
        <f>SUMIF(טבלה11517[מקט],טבלה38[[#This Row],[קוד מוצר]],טבלה11517[כמות])</f>
        <v>0</v>
      </c>
      <c r="L65" s="655">
        <f>SUMIF(טבלה115179[מקט],טבלה38[[#This Row],[קוד מוצר]],טבלה115179[כמות])</f>
        <v>0</v>
      </c>
      <c r="M65" s="655">
        <f>SUMIF(טבלה115[מקט],טבלה38[[#This Row],[קוד מוצר]],טבלה115[כמות])</f>
        <v>0</v>
      </c>
      <c r="N65" s="655">
        <f>SUMIF(טבלה1[מק"ט],טבלה38[[#This Row],[קוד מוצר]],טבלה1[כמות])</f>
        <v>0</v>
      </c>
      <c r="O65" s="655">
        <f>SUMIF(טבלה8[מק"ט],טבלה38[[#This Row],[קוד מוצר]],טבלה8[הזמנה])</f>
        <v>0</v>
      </c>
      <c r="P65" s="655">
        <f>SUMIF(טבלה15[מק"ט],טבלה38[[#This Row],[קוד מוצר]],טבלה15[הזמנה])</f>
        <v>0</v>
      </c>
      <c r="Q65" s="655">
        <f>SUMIF(טבלה1151718[מקט],טבלה38[[#This Row],[קוד מוצר]],טבלה1151718[כמות])</f>
        <v>0</v>
      </c>
      <c r="R65" s="655">
        <f>SUMIF(טבלה125[מקט],טבלה38[[#This Row],[קוד מוצר]],טבלה125[כמות])</f>
        <v>0</v>
      </c>
      <c r="S65" s="655">
        <f>SUMIF(טבלה33[מק"ט],טבלה38[[#This Row],[קוד מוצר]],טבלה33[הזמנה])</f>
        <v>0</v>
      </c>
      <c r="T65" s="655">
        <f>SUMIF(טבלה34[עמודה1],טבלה38[[#This Row],[קוד מוצר]],טבלה34[הזמנה])</f>
        <v>0</v>
      </c>
      <c r="U65" s="655">
        <f>SUMIF(טבלה35[עמודה1],טבלה38[[#This Row],[קוד מוצר]],טבלה35[הזמנה])</f>
        <v>0</v>
      </c>
      <c r="V65" s="655">
        <f>SUMIF(טבלה3338[מק"ט],טבלה38[[#This Row],[קוד מוצר]],טבלה3338[הזמנה])</f>
        <v>0</v>
      </c>
      <c r="W65" s="655">
        <f>SUMIF(טבלה3540[עמודה1],טבלה38[[#This Row],[קוד מוצר]],טבלה3540[הזמנה])</f>
        <v>0</v>
      </c>
      <c r="X65" s="655">
        <f>SUMIF(טבלה3441[עמודה1],טבלה38[[#This Row],[קוד מוצר]],טבלה3441[הזמנה])</f>
        <v>0</v>
      </c>
      <c r="Y65" s="655">
        <f>SUMIF(טבלה24[מקט],טבלה38[[#This Row],[קוד מוצר]],טבלה24[כמות])</f>
        <v>0</v>
      </c>
      <c r="Z65" s="655">
        <f>SUMIF(טבלה628[קוד מוצר],טבלה38[[#This Row],[קוד מוצר]],טבלה628[תוספת])</f>
        <v>0</v>
      </c>
      <c r="AA65" s="610">
        <f>טבלה38[[#This Row],[פימת קפה]]*טבלה38[[#This Row],[מחיר ליח'' כולל ]]</f>
        <v>0</v>
      </c>
      <c r="AB65" s="610">
        <f>טבלה38[[#This Row],[פת שחרית]]*טבלה38[[#This Row],[מחיר ליח'' כולל ]]</f>
        <v>0</v>
      </c>
      <c r="AC65" s="610">
        <f>טבלה38[[#This Row],[א. בוקר פריסה]]*טבלה38[[#This Row],[מחיר ליח'' כולל ]]</f>
        <v>0</v>
      </c>
      <c r="AD65" s="666">
        <f>טבלה38[[#This Row],[א. צהררים פריסה ]]*טבלה38[[#This Row],[מחיר ליח'' כולל ]]</f>
        <v>0</v>
      </c>
      <c r="AE65" s="666">
        <f>טבלה38[[#This Row],[בוקר קיטים]]*טבלה38[[#This Row],[מחיר ליח'' כולל ]]</f>
        <v>0</v>
      </c>
      <c r="AF65" s="666">
        <f>טבלה38[[#This Row],[צהריים קיטים]]*טבלה38[[#This Row],[מחיר ליח'' כולל ]]</f>
        <v>0</v>
      </c>
      <c r="AG65" s="666">
        <f>טבלה38[[#This Row],[פריסת אמצע]]*טבלה38[[#This Row],[מחיר ליח'' כולל ]]</f>
        <v>0</v>
      </c>
      <c r="AH65" s="666">
        <f>טבלה38[[#This Row],[מרק]]*טבלה38[[#This Row],[מחיר ליח'' כולל ]]</f>
        <v>0</v>
      </c>
      <c r="AI65" s="666">
        <f>טבלה38[[#This Row],[ערב בישול 1]]*טבלה38[[#This Row],[מחיר ליח'' כולל ]]</f>
        <v>0</v>
      </c>
      <c r="AJ65" s="666">
        <f>טבלה38[[#This Row],[ערב בישול 2]]*טבלה38[[#This Row],[מחיר ליח'' כולל ]]</f>
        <v>0</v>
      </c>
      <c r="AK65" s="666">
        <f>טבלה38[[#This Row],[ערב בישול 3]]*טבלה38[[#This Row],[מחיר ליח'' כולל ]]</f>
        <v>0</v>
      </c>
      <c r="AL65" s="666">
        <f>טבלה38[[#This Row],[ערב קטן 1]]*טבלה38[[#This Row],[מחיר ליח'' כולל ]]</f>
        <v>0</v>
      </c>
      <c r="AM65" s="666">
        <f>טבלה38[[#This Row],[ערב קטן 2]]*טבלה38[[#This Row],[מחיר ליח'' כולל ]]</f>
        <v>0</v>
      </c>
      <c r="AN65" s="666">
        <f>טבלה38[[#This Row],[ערב קטן 3]]*טבלה38[[#This Row],[מחיר ליח'' כולל ]]</f>
        <v>0</v>
      </c>
      <c r="AO65" s="666">
        <f>טבלה38[[#This Row],[קיטים מיוחדים]]*טבלה38[[#This Row],[מחיר ליח'' כולל ]]</f>
        <v>0</v>
      </c>
      <c r="AP65" s="666">
        <f>טבלה38[[#This Row],[תוספות]]*טבלה38[[#This Row],[מחיר ליח'' כולל ]]</f>
        <v>0</v>
      </c>
    </row>
    <row r="66" spans="2:42" ht="14.4">
      <c r="B66" s="651">
        <v>9530</v>
      </c>
      <c r="C66" s="650" t="s">
        <v>1115</v>
      </c>
      <c r="D66" s="650" t="s">
        <v>602</v>
      </c>
      <c r="E66" s="650"/>
      <c r="F66" s="649" t="str">
        <f>IF(טבלה38[[#This Row],[סה"כ]]&gt;0,טבלה38[[#This Row],[סה"כ]],"")</f>
        <v/>
      </c>
      <c r="G66" s="656">
        <v>0.17</v>
      </c>
      <c r="H66" s="655">
        <f>טבלה38[[#This Row],[מחיר]]+טבלה38[[#This Row],[% מע"מ]]*טבלה38[[#This Row],[מחיר]]</f>
        <v>0</v>
      </c>
      <c r="I66" s="630">
        <f>טבלה38[[#This Row],[סה"כ]]*טבלה38[[#This Row],[מחיר ליח'' כולל ]]</f>
        <v>0</v>
      </c>
      <c r="J66" s="655">
        <f>SUM(טבלה38[[#This Row],[פימת קפה]:[תוספות]])</f>
        <v>0</v>
      </c>
      <c r="K66" s="655">
        <f>SUMIF(טבלה11517[מקט],טבלה38[[#This Row],[קוד מוצר]],טבלה11517[כמות])</f>
        <v>0</v>
      </c>
      <c r="L66" s="655">
        <f>SUMIF(טבלה115179[מקט],טבלה38[[#This Row],[קוד מוצר]],טבלה115179[כמות])</f>
        <v>0</v>
      </c>
      <c r="M66" s="655">
        <f>SUMIF(טבלה115[מקט],טבלה38[[#This Row],[קוד מוצר]],טבלה115[כמות])</f>
        <v>0</v>
      </c>
      <c r="N66" s="655">
        <f>SUMIF(טבלה1[מק"ט],טבלה38[[#This Row],[קוד מוצר]],טבלה1[כמות])</f>
        <v>0</v>
      </c>
      <c r="O66" s="655">
        <f>SUMIF(טבלה8[מק"ט],טבלה38[[#This Row],[קוד מוצר]],טבלה8[הזמנה])</f>
        <v>0</v>
      </c>
      <c r="P66" s="655">
        <f>SUMIF(טבלה15[מק"ט],טבלה38[[#This Row],[קוד מוצר]],טבלה15[הזמנה])</f>
        <v>0</v>
      </c>
      <c r="Q66" s="655">
        <f>SUMIF(טבלה1151718[מקט],טבלה38[[#This Row],[קוד מוצר]],טבלה1151718[כמות])</f>
        <v>0</v>
      </c>
      <c r="R66" s="655">
        <f>SUMIF(טבלה125[מקט],טבלה38[[#This Row],[קוד מוצר]],טבלה125[כמות])</f>
        <v>0</v>
      </c>
      <c r="S66" s="655">
        <f>SUMIF(טבלה33[מק"ט],טבלה38[[#This Row],[קוד מוצר]],טבלה33[הזמנה])</f>
        <v>0</v>
      </c>
      <c r="T66" s="655">
        <f>SUMIF(טבלה34[עמודה1],טבלה38[[#This Row],[קוד מוצר]],טבלה34[הזמנה])</f>
        <v>0</v>
      </c>
      <c r="U66" s="655">
        <f>SUMIF(טבלה35[עמודה1],טבלה38[[#This Row],[קוד מוצר]],טבלה35[הזמנה])</f>
        <v>0</v>
      </c>
      <c r="V66" s="655">
        <f>SUMIF(טבלה3338[מק"ט],טבלה38[[#This Row],[קוד מוצר]],טבלה3338[הזמנה])</f>
        <v>0</v>
      </c>
      <c r="W66" s="655">
        <f>SUMIF(טבלה3540[עמודה1],טבלה38[[#This Row],[קוד מוצר]],טבלה3540[הזמנה])</f>
        <v>0</v>
      </c>
      <c r="X66" s="655">
        <f>SUMIF(טבלה3441[עמודה1],טבלה38[[#This Row],[קוד מוצר]],טבלה3441[הזמנה])</f>
        <v>0</v>
      </c>
      <c r="Y66" s="655">
        <f>SUMIF(טבלה24[מקט],טבלה38[[#This Row],[קוד מוצר]],טבלה24[כמות])</f>
        <v>0</v>
      </c>
      <c r="Z66" s="655">
        <f>SUMIF(טבלה628[קוד מוצר],טבלה38[[#This Row],[קוד מוצר]],טבלה628[תוספת])</f>
        <v>0</v>
      </c>
      <c r="AA66" s="610">
        <f>טבלה38[[#This Row],[פימת קפה]]*טבלה38[[#This Row],[מחיר ליח'' כולל ]]</f>
        <v>0</v>
      </c>
      <c r="AB66" s="610">
        <f>טבלה38[[#This Row],[פת שחרית]]*טבלה38[[#This Row],[מחיר ליח'' כולל ]]</f>
        <v>0</v>
      </c>
      <c r="AC66" s="610">
        <f>טבלה38[[#This Row],[א. בוקר פריסה]]*טבלה38[[#This Row],[מחיר ליח'' כולל ]]</f>
        <v>0</v>
      </c>
      <c r="AD66" s="666">
        <f>טבלה38[[#This Row],[א. צהררים פריסה ]]*טבלה38[[#This Row],[מחיר ליח'' כולל ]]</f>
        <v>0</v>
      </c>
      <c r="AE66" s="666">
        <f>טבלה38[[#This Row],[בוקר קיטים]]*טבלה38[[#This Row],[מחיר ליח'' כולל ]]</f>
        <v>0</v>
      </c>
      <c r="AF66" s="666">
        <f>טבלה38[[#This Row],[צהריים קיטים]]*טבלה38[[#This Row],[מחיר ליח'' כולל ]]</f>
        <v>0</v>
      </c>
      <c r="AG66" s="666">
        <f>טבלה38[[#This Row],[פריסת אמצע]]*טבלה38[[#This Row],[מחיר ליח'' כולל ]]</f>
        <v>0</v>
      </c>
      <c r="AH66" s="666">
        <f>טבלה38[[#This Row],[מרק]]*טבלה38[[#This Row],[מחיר ליח'' כולל ]]</f>
        <v>0</v>
      </c>
      <c r="AI66" s="666">
        <f>טבלה38[[#This Row],[ערב בישול 1]]*טבלה38[[#This Row],[מחיר ליח'' כולל ]]</f>
        <v>0</v>
      </c>
      <c r="AJ66" s="666">
        <f>טבלה38[[#This Row],[ערב בישול 2]]*טבלה38[[#This Row],[מחיר ליח'' כולל ]]</f>
        <v>0</v>
      </c>
      <c r="AK66" s="666">
        <f>טבלה38[[#This Row],[ערב בישול 3]]*טבלה38[[#This Row],[מחיר ליח'' כולל ]]</f>
        <v>0</v>
      </c>
      <c r="AL66" s="666">
        <f>טבלה38[[#This Row],[ערב קטן 1]]*טבלה38[[#This Row],[מחיר ליח'' כולל ]]</f>
        <v>0</v>
      </c>
      <c r="AM66" s="666">
        <f>טבלה38[[#This Row],[ערב קטן 2]]*טבלה38[[#This Row],[מחיר ליח'' כולל ]]</f>
        <v>0</v>
      </c>
      <c r="AN66" s="666">
        <f>טבלה38[[#This Row],[ערב קטן 3]]*טבלה38[[#This Row],[מחיר ליח'' כולל ]]</f>
        <v>0</v>
      </c>
      <c r="AO66" s="666">
        <f>טבלה38[[#This Row],[קיטים מיוחדים]]*טבלה38[[#This Row],[מחיר ליח'' כולל ]]</f>
        <v>0</v>
      </c>
      <c r="AP66" s="666">
        <f>טבלה38[[#This Row],[תוספות]]*טבלה38[[#This Row],[מחיר ליח'' כולל ]]</f>
        <v>0</v>
      </c>
    </row>
    <row r="67" spans="2:42" ht="14.4">
      <c r="B67" s="651">
        <v>9982</v>
      </c>
      <c r="C67" s="650" t="s">
        <v>1076</v>
      </c>
      <c r="D67" s="650" t="s">
        <v>602</v>
      </c>
      <c r="E67" s="650"/>
      <c r="F67" s="649" t="str">
        <f>IF(טבלה38[[#This Row],[סה"כ]]&gt;0,טבלה38[[#This Row],[סה"כ]],"")</f>
        <v/>
      </c>
      <c r="G67" s="656">
        <v>0.17</v>
      </c>
      <c r="H67" s="655">
        <f>טבלה38[[#This Row],[מחיר]]+טבלה38[[#This Row],[% מע"מ]]*טבלה38[[#This Row],[מחיר]]</f>
        <v>0</v>
      </c>
      <c r="I67" s="630">
        <f>טבלה38[[#This Row],[סה"כ]]*טבלה38[[#This Row],[מחיר ליח'' כולל ]]</f>
        <v>0</v>
      </c>
      <c r="J67" s="655">
        <f>SUM(טבלה38[[#This Row],[פימת קפה]:[תוספות]])</f>
        <v>0</v>
      </c>
      <c r="K67" s="655">
        <f>SUMIF(טבלה11517[מקט],טבלה38[[#This Row],[קוד מוצר]],טבלה11517[כמות])</f>
        <v>0</v>
      </c>
      <c r="L67" s="655">
        <f>SUMIF(טבלה115179[מקט],טבלה38[[#This Row],[קוד מוצר]],טבלה115179[כמות])</f>
        <v>0</v>
      </c>
      <c r="M67" s="655">
        <f>SUMIF(טבלה115[מקט],טבלה38[[#This Row],[קוד מוצר]],טבלה115[כמות])</f>
        <v>0</v>
      </c>
      <c r="N67" s="655">
        <f>SUMIF(טבלה1[מק"ט],טבלה38[[#This Row],[קוד מוצר]],טבלה1[כמות])</f>
        <v>0</v>
      </c>
      <c r="O67" s="655">
        <f>SUMIF(טבלה8[מק"ט],טבלה38[[#This Row],[קוד מוצר]],טבלה8[הזמנה])</f>
        <v>0</v>
      </c>
      <c r="P67" s="655">
        <f>SUMIF(טבלה15[מק"ט],טבלה38[[#This Row],[קוד מוצר]],טבלה15[הזמנה])</f>
        <v>0</v>
      </c>
      <c r="Q67" s="655">
        <f>SUMIF(טבלה1151718[מקט],טבלה38[[#This Row],[קוד מוצר]],טבלה1151718[כמות])</f>
        <v>0</v>
      </c>
      <c r="R67" s="655">
        <f>SUMIF(טבלה125[מקט],טבלה38[[#This Row],[קוד מוצר]],טבלה125[כמות])</f>
        <v>0</v>
      </c>
      <c r="S67" s="655">
        <f>SUMIF(טבלה33[מק"ט],טבלה38[[#This Row],[קוד מוצר]],טבלה33[הזמנה])</f>
        <v>0</v>
      </c>
      <c r="T67" s="655">
        <f>SUMIF(טבלה34[עמודה1],טבלה38[[#This Row],[קוד מוצר]],טבלה34[הזמנה])</f>
        <v>0</v>
      </c>
      <c r="U67" s="655">
        <f>SUMIF(טבלה35[עמודה1],טבלה38[[#This Row],[קוד מוצר]],טבלה35[הזמנה])</f>
        <v>0</v>
      </c>
      <c r="V67" s="655">
        <f>SUMIF(טבלה3338[מק"ט],טבלה38[[#This Row],[קוד מוצר]],טבלה3338[הזמנה])</f>
        <v>0</v>
      </c>
      <c r="W67" s="655">
        <f>SUMIF(טבלה3540[עמודה1],טבלה38[[#This Row],[קוד מוצר]],טבלה3540[הזמנה])</f>
        <v>0</v>
      </c>
      <c r="X67" s="655">
        <f>SUMIF(טבלה3441[עמודה1],טבלה38[[#This Row],[קוד מוצר]],טבלה3441[הזמנה])</f>
        <v>0</v>
      </c>
      <c r="Y67" s="655">
        <f>SUMIF(טבלה24[מקט],טבלה38[[#This Row],[קוד מוצר]],טבלה24[כמות])</f>
        <v>0</v>
      </c>
      <c r="Z67" s="655">
        <f>SUMIF(טבלה628[קוד מוצר],טבלה38[[#This Row],[קוד מוצר]],טבלה628[תוספת])</f>
        <v>0</v>
      </c>
      <c r="AA67" s="610">
        <f>טבלה38[[#This Row],[פימת קפה]]*טבלה38[[#This Row],[מחיר ליח'' כולל ]]</f>
        <v>0</v>
      </c>
      <c r="AB67" s="610">
        <f>טבלה38[[#This Row],[פת שחרית]]*טבלה38[[#This Row],[מחיר ליח'' כולל ]]</f>
        <v>0</v>
      </c>
      <c r="AC67" s="610">
        <f>טבלה38[[#This Row],[א. בוקר פריסה]]*טבלה38[[#This Row],[מחיר ליח'' כולל ]]</f>
        <v>0</v>
      </c>
      <c r="AD67" s="666">
        <f>טבלה38[[#This Row],[א. צהררים פריסה ]]*טבלה38[[#This Row],[מחיר ליח'' כולל ]]</f>
        <v>0</v>
      </c>
      <c r="AE67" s="666">
        <f>טבלה38[[#This Row],[בוקר קיטים]]*טבלה38[[#This Row],[מחיר ליח'' כולל ]]</f>
        <v>0</v>
      </c>
      <c r="AF67" s="666">
        <f>טבלה38[[#This Row],[צהריים קיטים]]*טבלה38[[#This Row],[מחיר ליח'' כולל ]]</f>
        <v>0</v>
      </c>
      <c r="AG67" s="666">
        <f>טבלה38[[#This Row],[פריסת אמצע]]*טבלה38[[#This Row],[מחיר ליח'' כולל ]]</f>
        <v>0</v>
      </c>
      <c r="AH67" s="666">
        <f>טבלה38[[#This Row],[מרק]]*טבלה38[[#This Row],[מחיר ליח'' כולל ]]</f>
        <v>0</v>
      </c>
      <c r="AI67" s="666">
        <f>טבלה38[[#This Row],[ערב בישול 1]]*טבלה38[[#This Row],[מחיר ליח'' כולל ]]</f>
        <v>0</v>
      </c>
      <c r="AJ67" s="666">
        <f>טבלה38[[#This Row],[ערב בישול 2]]*טבלה38[[#This Row],[מחיר ליח'' כולל ]]</f>
        <v>0</v>
      </c>
      <c r="AK67" s="666">
        <f>טבלה38[[#This Row],[ערב בישול 3]]*טבלה38[[#This Row],[מחיר ליח'' כולל ]]</f>
        <v>0</v>
      </c>
      <c r="AL67" s="666">
        <f>טבלה38[[#This Row],[ערב קטן 1]]*טבלה38[[#This Row],[מחיר ליח'' כולל ]]</f>
        <v>0</v>
      </c>
      <c r="AM67" s="666">
        <f>טבלה38[[#This Row],[ערב קטן 2]]*טבלה38[[#This Row],[מחיר ליח'' כולל ]]</f>
        <v>0</v>
      </c>
      <c r="AN67" s="666">
        <f>טבלה38[[#This Row],[ערב קטן 3]]*טבלה38[[#This Row],[מחיר ליח'' כולל ]]</f>
        <v>0</v>
      </c>
      <c r="AO67" s="666">
        <f>טבלה38[[#This Row],[קיטים מיוחדים]]*טבלה38[[#This Row],[מחיר ליח'' כולל ]]</f>
        <v>0</v>
      </c>
      <c r="AP67" s="666">
        <f>טבלה38[[#This Row],[תוספות]]*טבלה38[[#This Row],[מחיר ליח'' כולל ]]</f>
        <v>0</v>
      </c>
    </row>
    <row r="68" spans="2:42" ht="14.4">
      <c r="B68" s="651">
        <v>11779</v>
      </c>
      <c r="C68" s="650" t="s">
        <v>1134</v>
      </c>
      <c r="E68" s="650"/>
      <c r="F68" s="649" t="str">
        <f>IF(טבלה38[[#This Row],[סה"כ]]&gt;0,טבלה38[[#This Row],[סה"כ]],"")</f>
        <v/>
      </c>
      <c r="G68" s="656">
        <v>0.17</v>
      </c>
      <c r="H68" s="655">
        <f>טבלה38[[#This Row],[מחיר]]+טבלה38[[#This Row],[% מע"מ]]*טבלה38[[#This Row],[מחיר]]</f>
        <v>0</v>
      </c>
      <c r="I68" s="630">
        <f>טבלה38[[#This Row],[סה"כ]]*טבלה38[[#This Row],[מחיר ליח'' כולל ]]</f>
        <v>0</v>
      </c>
      <c r="J68" s="655">
        <f>SUM(טבלה38[[#This Row],[פימת קפה]:[תוספות]])</f>
        <v>0</v>
      </c>
      <c r="K68" s="655">
        <f>SUMIF(טבלה11517[מקט],טבלה38[[#This Row],[קוד מוצר]],טבלה11517[כמות])</f>
        <v>0</v>
      </c>
      <c r="L68" s="655">
        <f>SUMIF(טבלה115179[מקט],טבלה38[[#This Row],[קוד מוצר]],טבלה115179[כמות])</f>
        <v>0</v>
      </c>
      <c r="M68" s="655">
        <f>SUMIF(טבלה115[מקט],טבלה38[[#This Row],[קוד מוצר]],טבלה115[כמות])</f>
        <v>0</v>
      </c>
      <c r="N68" s="655">
        <f>SUMIF(טבלה1[מק"ט],טבלה38[[#This Row],[קוד מוצר]],טבלה1[כמות])</f>
        <v>0</v>
      </c>
      <c r="O68" s="655">
        <f>SUMIF(טבלה8[מק"ט],טבלה38[[#This Row],[קוד מוצר]],טבלה8[הזמנה])</f>
        <v>0</v>
      </c>
      <c r="P68" s="655">
        <f>SUMIF(טבלה15[מק"ט],טבלה38[[#This Row],[קוד מוצר]],טבלה15[הזמנה])</f>
        <v>0</v>
      </c>
      <c r="Q68" s="655">
        <f>SUMIF(טבלה1151718[מקט],טבלה38[[#This Row],[קוד מוצר]],טבלה1151718[כמות])</f>
        <v>0</v>
      </c>
      <c r="R68" s="655">
        <f>SUMIF(טבלה125[מקט],טבלה38[[#This Row],[קוד מוצר]],טבלה125[כמות])</f>
        <v>0</v>
      </c>
      <c r="S68" s="655">
        <f>SUMIF(טבלה33[מק"ט],טבלה38[[#This Row],[קוד מוצר]],טבלה33[הזמנה])</f>
        <v>0</v>
      </c>
      <c r="T68" s="655">
        <f>SUMIF(טבלה34[עמודה1],טבלה38[[#This Row],[קוד מוצר]],טבלה34[הזמנה])</f>
        <v>0</v>
      </c>
      <c r="U68" s="655">
        <f>SUMIF(טבלה35[עמודה1],טבלה38[[#This Row],[קוד מוצר]],טבלה35[הזמנה])</f>
        <v>0</v>
      </c>
      <c r="V68" s="655">
        <f>SUMIF(טבלה3338[מק"ט],טבלה38[[#This Row],[קוד מוצר]],טבלה3338[הזמנה])</f>
        <v>0</v>
      </c>
      <c r="W68" s="655">
        <f>SUMIF(טבלה3540[עמודה1],טבלה38[[#This Row],[קוד מוצר]],טבלה3540[הזמנה])</f>
        <v>0</v>
      </c>
      <c r="X68" s="655">
        <f>SUMIF(טבלה3441[עמודה1],טבלה38[[#This Row],[קוד מוצר]],טבלה3441[הזמנה])</f>
        <v>0</v>
      </c>
      <c r="Y68" s="655">
        <f>SUMIF(טבלה24[מקט],טבלה38[[#This Row],[קוד מוצר]],טבלה24[כמות])</f>
        <v>0</v>
      </c>
      <c r="Z68" s="655">
        <f>SUMIF(טבלה628[קוד מוצר],טבלה38[[#This Row],[קוד מוצר]],טבלה628[תוספת])</f>
        <v>0</v>
      </c>
      <c r="AA68" s="610">
        <f>טבלה38[[#This Row],[פימת קפה]]*טבלה38[[#This Row],[מחיר ליח'' כולל ]]</f>
        <v>0</v>
      </c>
      <c r="AB68" s="610">
        <f>טבלה38[[#This Row],[פת שחרית]]*טבלה38[[#This Row],[מחיר ליח'' כולל ]]</f>
        <v>0</v>
      </c>
      <c r="AC68" s="610">
        <f>טבלה38[[#This Row],[א. בוקר פריסה]]*טבלה38[[#This Row],[מחיר ליח'' כולל ]]</f>
        <v>0</v>
      </c>
      <c r="AD68" s="666">
        <f>טבלה38[[#This Row],[א. צהררים פריסה ]]*טבלה38[[#This Row],[מחיר ליח'' כולל ]]</f>
        <v>0</v>
      </c>
      <c r="AE68" s="666">
        <f>טבלה38[[#This Row],[בוקר קיטים]]*טבלה38[[#This Row],[מחיר ליח'' כולל ]]</f>
        <v>0</v>
      </c>
      <c r="AF68" s="666">
        <f>טבלה38[[#This Row],[צהריים קיטים]]*טבלה38[[#This Row],[מחיר ליח'' כולל ]]</f>
        <v>0</v>
      </c>
      <c r="AG68" s="666">
        <f>טבלה38[[#This Row],[פריסת אמצע]]*טבלה38[[#This Row],[מחיר ליח'' כולל ]]</f>
        <v>0</v>
      </c>
      <c r="AH68" s="666">
        <f>טבלה38[[#This Row],[מרק]]*טבלה38[[#This Row],[מחיר ליח'' כולל ]]</f>
        <v>0</v>
      </c>
      <c r="AI68" s="666">
        <f>טבלה38[[#This Row],[ערב בישול 1]]*טבלה38[[#This Row],[מחיר ליח'' כולל ]]</f>
        <v>0</v>
      </c>
      <c r="AJ68" s="666">
        <f>טבלה38[[#This Row],[ערב בישול 2]]*טבלה38[[#This Row],[מחיר ליח'' כולל ]]</f>
        <v>0</v>
      </c>
      <c r="AK68" s="666">
        <f>טבלה38[[#This Row],[ערב בישול 3]]*טבלה38[[#This Row],[מחיר ליח'' כולל ]]</f>
        <v>0</v>
      </c>
      <c r="AL68" s="666">
        <f>טבלה38[[#This Row],[ערב קטן 1]]*טבלה38[[#This Row],[מחיר ליח'' כולל ]]</f>
        <v>0</v>
      </c>
      <c r="AM68" s="666">
        <f>טבלה38[[#This Row],[ערב קטן 2]]*טבלה38[[#This Row],[מחיר ליח'' כולל ]]</f>
        <v>0</v>
      </c>
      <c r="AN68" s="666">
        <f>טבלה38[[#This Row],[ערב קטן 3]]*טבלה38[[#This Row],[מחיר ליח'' כולל ]]</f>
        <v>0</v>
      </c>
      <c r="AO68" s="666">
        <f>טבלה38[[#This Row],[קיטים מיוחדים]]*טבלה38[[#This Row],[מחיר ליח'' כולל ]]</f>
        <v>0</v>
      </c>
      <c r="AP68" s="666">
        <f>טבלה38[[#This Row],[תוספות]]*טבלה38[[#This Row],[מחיר ליח'' כולל ]]</f>
        <v>0</v>
      </c>
    </row>
    <row r="69" spans="2:42" ht="14.4">
      <c r="B69" s="651">
        <v>2216</v>
      </c>
      <c r="C69" s="650" t="s">
        <v>1143</v>
      </c>
      <c r="E69" s="650"/>
      <c r="F69" s="649" t="str">
        <f>IF(טבלה38[[#This Row],[סה"כ]]&gt;0,טבלה38[[#This Row],[סה"כ]],"")</f>
        <v/>
      </c>
      <c r="G69" s="656">
        <v>0.17</v>
      </c>
      <c r="H69" s="655">
        <f>טבלה38[[#This Row],[מחיר]]+טבלה38[[#This Row],[% מע"מ]]*טבלה38[[#This Row],[מחיר]]</f>
        <v>0</v>
      </c>
      <c r="I69" s="630">
        <f>טבלה38[[#This Row],[סה"כ]]*טבלה38[[#This Row],[מחיר ליח'' כולל ]]</f>
        <v>0</v>
      </c>
      <c r="J69" s="655">
        <f>SUM(טבלה38[[#This Row],[פימת קפה]:[תוספות]])</f>
        <v>0</v>
      </c>
      <c r="K69" s="655">
        <f>SUMIF(טבלה11517[מקט],טבלה38[[#This Row],[קוד מוצר]],טבלה11517[כמות])</f>
        <v>0</v>
      </c>
      <c r="L69" s="655">
        <f>SUMIF(טבלה115179[מקט],טבלה38[[#This Row],[קוד מוצר]],טבלה115179[כמות])</f>
        <v>0</v>
      </c>
      <c r="M69" s="655">
        <f>SUMIF(טבלה115[מקט],טבלה38[[#This Row],[קוד מוצר]],טבלה115[כמות])</f>
        <v>0</v>
      </c>
      <c r="N69" s="655">
        <f>SUMIF(טבלה1[מק"ט],טבלה38[[#This Row],[קוד מוצר]],טבלה1[כמות])</f>
        <v>0</v>
      </c>
      <c r="O69" s="655">
        <f>SUMIF(טבלה8[מק"ט],טבלה38[[#This Row],[קוד מוצר]],טבלה8[הזמנה])</f>
        <v>0</v>
      </c>
      <c r="P69" s="655">
        <f>SUMIF(טבלה15[מק"ט],טבלה38[[#This Row],[קוד מוצר]],טבלה15[הזמנה])</f>
        <v>0</v>
      </c>
      <c r="Q69" s="655">
        <f>SUMIF(טבלה1151718[מקט],טבלה38[[#This Row],[קוד מוצר]],טבלה1151718[כמות])</f>
        <v>0</v>
      </c>
      <c r="R69" s="655">
        <f>SUMIF(טבלה125[מקט],טבלה38[[#This Row],[קוד מוצר]],טבלה125[כמות])</f>
        <v>0</v>
      </c>
      <c r="S69" s="655">
        <f>SUMIF(טבלה33[מק"ט],טבלה38[[#This Row],[קוד מוצר]],טבלה33[הזמנה])</f>
        <v>0</v>
      </c>
      <c r="T69" s="655">
        <f>SUMIF(טבלה34[עמודה1],טבלה38[[#This Row],[קוד מוצר]],טבלה34[הזמנה])</f>
        <v>0</v>
      </c>
      <c r="U69" s="655">
        <f>SUMIF(טבלה35[עמודה1],טבלה38[[#This Row],[קוד מוצר]],טבלה35[הזמנה])</f>
        <v>0</v>
      </c>
      <c r="V69" s="655">
        <f>SUMIF(טבלה3338[מק"ט],טבלה38[[#This Row],[קוד מוצר]],טבלה3338[הזמנה])</f>
        <v>0</v>
      </c>
      <c r="W69" s="655">
        <f>SUMIF(טבלה3540[עמודה1],טבלה38[[#This Row],[קוד מוצר]],טבלה3540[הזמנה])</f>
        <v>0</v>
      </c>
      <c r="X69" s="655">
        <f>SUMIF(טבלה3441[עמודה1],טבלה38[[#This Row],[קוד מוצר]],טבלה3441[הזמנה])</f>
        <v>0</v>
      </c>
      <c r="Y69" s="655">
        <f>SUMIF(טבלה24[מקט],טבלה38[[#This Row],[קוד מוצר]],טבלה24[כמות])</f>
        <v>0</v>
      </c>
      <c r="Z69" s="655">
        <f>SUMIF(טבלה628[קוד מוצר],טבלה38[[#This Row],[קוד מוצר]],טבלה628[תוספת])</f>
        <v>0</v>
      </c>
      <c r="AA69" s="610">
        <f>טבלה38[[#This Row],[פימת קפה]]*טבלה38[[#This Row],[מחיר ליח'' כולל ]]</f>
        <v>0</v>
      </c>
      <c r="AB69" s="610">
        <f>טבלה38[[#This Row],[פת שחרית]]*טבלה38[[#This Row],[מחיר ליח'' כולל ]]</f>
        <v>0</v>
      </c>
      <c r="AC69" s="610">
        <f>טבלה38[[#This Row],[א. בוקר פריסה]]*טבלה38[[#This Row],[מחיר ליח'' כולל ]]</f>
        <v>0</v>
      </c>
      <c r="AD69" s="666">
        <f>טבלה38[[#This Row],[א. צהררים פריסה ]]*טבלה38[[#This Row],[מחיר ליח'' כולל ]]</f>
        <v>0</v>
      </c>
      <c r="AE69" s="666">
        <f>טבלה38[[#This Row],[בוקר קיטים]]*טבלה38[[#This Row],[מחיר ליח'' כולל ]]</f>
        <v>0</v>
      </c>
      <c r="AF69" s="666">
        <f>טבלה38[[#This Row],[צהריים קיטים]]*טבלה38[[#This Row],[מחיר ליח'' כולל ]]</f>
        <v>0</v>
      </c>
      <c r="AG69" s="666">
        <f>טבלה38[[#This Row],[פריסת אמצע]]*טבלה38[[#This Row],[מחיר ליח'' כולל ]]</f>
        <v>0</v>
      </c>
      <c r="AH69" s="666">
        <f>טבלה38[[#This Row],[מרק]]*טבלה38[[#This Row],[מחיר ליח'' כולל ]]</f>
        <v>0</v>
      </c>
      <c r="AI69" s="666">
        <f>טבלה38[[#This Row],[ערב בישול 1]]*טבלה38[[#This Row],[מחיר ליח'' כולל ]]</f>
        <v>0</v>
      </c>
      <c r="AJ69" s="666">
        <f>טבלה38[[#This Row],[ערב בישול 2]]*טבלה38[[#This Row],[מחיר ליח'' כולל ]]</f>
        <v>0</v>
      </c>
      <c r="AK69" s="666">
        <f>טבלה38[[#This Row],[ערב בישול 3]]*טבלה38[[#This Row],[מחיר ליח'' כולל ]]</f>
        <v>0</v>
      </c>
      <c r="AL69" s="666">
        <f>טבלה38[[#This Row],[ערב קטן 1]]*טבלה38[[#This Row],[מחיר ליח'' כולל ]]</f>
        <v>0</v>
      </c>
      <c r="AM69" s="666">
        <f>טבלה38[[#This Row],[ערב קטן 2]]*טבלה38[[#This Row],[מחיר ליח'' כולל ]]</f>
        <v>0</v>
      </c>
      <c r="AN69" s="666">
        <f>טבלה38[[#This Row],[ערב קטן 3]]*טבלה38[[#This Row],[מחיר ליח'' כולל ]]</f>
        <v>0</v>
      </c>
      <c r="AO69" s="666">
        <f>טבלה38[[#This Row],[קיטים מיוחדים]]*טבלה38[[#This Row],[מחיר ליח'' כולל ]]</f>
        <v>0</v>
      </c>
      <c r="AP69" s="666">
        <f>טבלה38[[#This Row],[תוספות]]*טבלה38[[#This Row],[מחיר ליח'' כולל ]]</f>
        <v>0</v>
      </c>
    </row>
    <row r="70" spans="2:42" ht="14.4">
      <c r="B70" s="651">
        <v>9256</v>
      </c>
      <c r="C70" s="650" t="s">
        <v>1140</v>
      </c>
      <c r="D70" s="650" t="s">
        <v>602</v>
      </c>
      <c r="E70" s="650"/>
      <c r="F70" s="649" t="str">
        <f>IF(טבלה38[[#This Row],[סה"כ]]&gt;0,טבלה38[[#This Row],[סה"כ]],"")</f>
        <v/>
      </c>
      <c r="G70" s="656">
        <v>0.17</v>
      </c>
      <c r="H70" s="655">
        <f>טבלה38[[#This Row],[מחיר]]+טבלה38[[#This Row],[% מע"מ]]*טבלה38[[#This Row],[מחיר]]</f>
        <v>0</v>
      </c>
      <c r="I70" s="630">
        <f>טבלה38[[#This Row],[סה"כ]]*טבלה38[[#This Row],[מחיר ליח'' כולל ]]</f>
        <v>0</v>
      </c>
      <c r="J70" s="655">
        <f>SUM(טבלה38[[#This Row],[פימת קפה]:[תוספות]])</f>
        <v>0</v>
      </c>
      <c r="K70" s="655">
        <f>SUMIF(טבלה11517[מקט],טבלה38[[#This Row],[קוד מוצר]],טבלה11517[כמות])</f>
        <v>0</v>
      </c>
      <c r="L70" s="655">
        <f>SUMIF(טבלה115179[מקט],טבלה38[[#This Row],[קוד מוצר]],טבלה115179[כמות])</f>
        <v>0</v>
      </c>
      <c r="M70" s="655">
        <f>SUMIF(טבלה115[מקט],טבלה38[[#This Row],[קוד מוצר]],טבלה115[כמות])</f>
        <v>0</v>
      </c>
      <c r="N70" s="655">
        <f>SUMIF(טבלה1[מק"ט],טבלה38[[#This Row],[קוד מוצר]],טבלה1[כמות])</f>
        <v>0</v>
      </c>
      <c r="O70" s="655">
        <f>SUMIF(טבלה8[מק"ט],טבלה38[[#This Row],[קוד מוצר]],טבלה8[הזמנה])</f>
        <v>0</v>
      </c>
      <c r="P70" s="655">
        <f>SUMIF(טבלה15[מק"ט],טבלה38[[#This Row],[קוד מוצר]],טבלה15[הזמנה])</f>
        <v>0</v>
      </c>
      <c r="Q70" s="655">
        <f>SUMIF(טבלה1151718[מקט],טבלה38[[#This Row],[קוד מוצר]],טבלה1151718[כמות])</f>
        <v>0</v>
      </c>
      <c r="R70" s="655">
        <f>SUMIF(טבלה125[מקט],טבלה38[[#This Row],[קוד מוצר]],טבלה125[כמות])</f>
        <v>0</v>
      </c>
      <c r="S70" s="655">
        <f>SUMIF(טבלה33[מק"ט],טבלה38[[#This Row],[קוד מוצר]],טבלה33[הזמנה])</f>
        <v>0</v>
      </c>
      <c r="T70" s="655">
        <f>SUMIF(טבלה34[עמודה1],טבלה38[[#This Row],[קוד מוצר]],טבלה34[הזמנה])</f>
        <v>0</v>
      </c>
      <c r="U70" s="655">
        <f>SUMIF(טבלה35[עמודה1],טבלה38[[#This Row],[קוד מוצר]],טבלה35[הזמנה])</f>
        <v>0</v>
      </c>
      <c r="V70" s="655">
        <f>SUMIF(טבלה3338[מק"ט],טבלה38[[#This Row],[קוד מוצר]],טבלה3338[הזמנה])</f>
        <v>0</v>
      </c>
      <c r="W70" s="655">
        <f>SUMIF(טבלה3540[עמודה1],טבלה38[[#This Row],[קוד מוצר]],טבלה3540[הזמנה])</f>
        <v>0</v>
      </c>
      <c r="X70" s="655">
        <f>SUMIF(טבלה3441[עמודה1],טבלה38[[#This Row],[קוד מוצר]],טבלה3441[הזמנה])</f>
        <v>0</v>
      </c>
      <c r="Y70" s="655">
        <f>SUMIF(טבלה24[מקט],טבלה38[[#This Row],[קוד מוצר]],טבלה24[כמות])</f>
        <v>0</v>
      </c>
      <c r="Z70" s="655">
        <f>SUMIF(טבלה628[קוד מוצר],טבלה38[[#This Row],[קוד מוצר]],טבלה628[תוספת])</f>
        <v>0</v>
      </c>
      <c r="AA70" s="610">
        <f>טבלה38[[#This Row],[פימת קפה]]*טבלה38[[#This Row],[מחיר ליח'' כולל ]]</f>
        <v>0</v>
      </c>
      <c r="AB70" s="610">
        <f>טבלה38[[#This Row],[פת שחרית]]*טבלה38[[#This Row],[מחיר ליח'' כולל ]]</f>
        <v>0</v>
      </c>
      <c r="AC70" s="610">
        <f>טבלה38[[#This Row],[א. בוקר פריסה]]*טבלה38[[#This Row],[מחיר ליח'' כולל ]]</f>
        <v>0</v>
      </c>
      <c r="AD70" s="666">
        <f>טבלה38[[#This Row],[א. צהררים פריסה ]]*טבלה38[[#This Row],[מחיר ליח'' כולל ]]</f>
        <v>0</v>
      </c>
      <c r="AE70" s="666">
        <f>טבלה38[[#This Row],[בוקר קיטים]]*טבלה38[[#This Row],[מחיר ליח'' כולל ]]</f>
        <v>0</v>
      </c>
      <c r="AF70" s="666">
        <f>טבלה38[[#This Row],[צהריים קיטים]]*טבלה38[[#This Row],[מחיר ליח'' כולל ]]</f>
        <v>0</v>
      </c>
      <c r="AG70" s="666">
        <f>טבלה38[[#This Row],[פריסת אמצע]]*טבלה38[[#This Row],[מחיר ליח'' כולל ]]</f>
        <v>0</v>
      </c>
      <c r="AH70" s="666">
        <f>טבלה38[[#This Row],[מרק]]*טבלה38[[#This Row],[מחיר ליח'' כולל ]]</f>
        <v>0</v>
      </c>
      <c r="AI70" s="666">
        <f>טבלה38[[#This Row],[ערב בישול 1]]*טבלה38[[#This Row],[מחיר ליח'' כולל ]]</f>
        <v>0</v>
      </c>
      <c r="AJ70" s="666">
        <f>טבלה38[[#This Row],[ערב בישול 2]]*טבלה38[[#This Row],[מחיר ליח'' כולל ]]</f>
        <v>0</v>
      </c>
      <c r="AK70" s="666">
        <f>טבלה38[[#This Row],[ערב בישול 3]]*טבלה38[[#This Row],[מחיר ליח'' כולל ]]</f>
        <v>0</v>
      </c>
      <c r="AL70" s="666">
        <f>טבלה38[[#This Row],[ערב קטן 1]]*טבלה38[[#This Row],[מחיר ליח'' כולל ]]</f>
        <v>0</v>
      </c>
      <c r="AM70" s="666">
        <f>טבלה38[[#This Row],[ערב קטן 2]]*טבלה38[[#This Row],[מחיר ליח'' כולל ]]</f>
        <v>0</v>
      </c>
      <c r="AN70" s="666">
        <f>טבלה38[[#This Row],[ערב קטן 3]]*טבלה38[[#This Row],[מחיר ליח'' כולל ]]</f>
        <v>0</v>
      </c>
      <c r="AO70" s="666">
        <f>טבלה38[[#This Row],[קיטים מיוחדים]]*טבלה38[[#This Row],[מחיר ליח'' כולל ]]</f>
        <v>0</v>
      </c>
      <c r="AP70" s="666">
        <f>טבלה38[[#This Row],[תוספות]]*טבלה38[[#This Row],[מחיר ליח'' כולל ]]</f>
        <v>0</v>
      </c>
    </row>
    <row r="71" spans="2:42" ht="14.4">
      <c r="B71" s="651">
        <v>496</v>
      </c>
      <c r="C71" s="650" t="s">
        <v>379</v>
      </c>
      <c r="D71" s="650" t="s">
        <v>602</v>
      </c>
      <c r="E71" s="650"/>
      <c r="F71" s="649" t="str">
        <f>IF(טבלה38[[#This Row],[סה"כ]]&gt;0,טבלה38[[#This Row],[סה"כ]],"")</f>
        <v/>
      </c>
      <c r="G71" s="656">
        <v>0</v>
      </c>
      <c r="H71" s="655">
        <f>טבלה38[[#This Row],[מחיר]]+טבלה38[[#This Row],[% מע"מ]]*טבלה38[[#This Row],[מחיר]]</f>
        <v>0</v>
      </c>
      <c r="I71" s="630">
        <f>טבלה38[[#This Row],[סה"כ]]*טבלה38[[#This Row],[מחיר ליח'' כולל ]]</f>
        <v>0</v>
      </c>
      <c r="J71" s="655">
        <f>SUM(טבלה38[[#This Row],[פימת קפה]:[תוספות]])</f>
        <v>0</v>
      </c>
      <c r="K71" s="655">
        <f>SUMIF(טבלה11517[מקט],טבלה38[[#This Row],[קוד מוצר]],טבלה11517[כמות])</f>
        <v>0</v>
      </c>
      <c r="L71" s="655">
        <f>SUMIF(טבלה115179[מקט],טבלה38[[#This Row],[קוד מוצר]],טבלה115179[כמות])</f>
        <v>0</v>
      </c>
      <c r="M71" s="655">
        <f>SUMIF(טבלה115[מקט],טבלה38[[#This Row],[קוד מוצר]],טבלה115[כמות])</f>
        <v>0</v>
      </c>
      <c r="N71" s="655">
        <f>SUMIF(טבלה1[מק"ט],טבלה38[[#This Row],[קוד מוצר]],טבלה1[כמות])</f>
        <v>0</v>
      </c>
      <c r="O71" s="655">
        <f>SUMIF(טבלה8[מק"ט],טבלה38[[#This Row],[קוד מוצר]],טבלה8[הזמנה])</f>
        <v>0</v>
      </c>
      <c r="P71" s="655">
        <f>SUMIF(טבלה15[מק"ט],טבלה38[[#This Row],[קוד מוצר]],טבלה15[הזמנה])</f>
        <v>0</v>
      </c>
      <c r="Q71" s="655">
        <f>SUMIF(טבלה1151718[מקט],טבלה38[[#This Row],[קוד מוצר]],טבלה1151718[כמות])</f>
        <v>0</v>
      </c>
      <c r="R71" s="655">
        <f>SUMIF(טבלה125[מקט],טבלה38[[#This Row],[קוד מוצר]],טבלה125[כמות])</f>
        <v>0</v>
      </c>
      <c r="S71" s="655">
        <f>SUMIF(טבלה33[מק"ט],טבלה38[[#This Row],[קוד מוצר]],טבלה33[הזמנה])</f>
        <v>0</v>
      </c>
      <c r="T71" s="655">
        <f>SUMIF(טבלה34[עמודה1],טבלה38[[#This Row],[קוד מוצר]],טבלה34[הזמנה])</f>
        <v>0</v>
      </c>
      <c r="U71" s="655">
        <f>SUMIF(טבלה35[עמודה1],טבלה38[[#This Row],[קוד מוצר]],טבלה35[הזמנה])</f>
        <v>0</v>
      </c>
      <c r="V71" s="655">
        <f>SUMIF(טבלה3338[מק"ט],טבלה38[[#This Row],[קוד מוצר]],טבלה3338[הזמנה])</f>
        <v>0</v>
      </c>
      <c r="W71" s="655">
        <f>SUMIF(טבלה3540[עמודה1],טבלה38[[#This Row],[קוד מוצר]],טבלה3540[הזמנה])</f>
        <v>0</v>
      </c>
      <c r="X71" s="655">
        <f>SUMIF(טבלה3441[עמודה1],טבלה38[[#This Row],[קוד מוצר]],טבלה3441[הזמנה])</f>
        <v>0</v>
      </c>
      <c r="Y71" s="655">
        <f>SUMIF(טבלה24[מקט],טבלה38[[#This Row],[קוד מוצר]],טבלה24[כמות])</f>
        <v>0</v>
      </c>
      <c r="Z71" s="655">
        <f>SUMIF(טבלה628[קוד מוצר],טבלה38[[#This Row],[קוד מוצר]],טבלה628[תוספת])</f>
        <v>0</v>
      </c>
      <c r="AA71" s="610">
        <f>טבלה38[[#This Row],[פימת קפה]]*טבלה38[[#This Row],[מחיר ליח'' כולל ]]</f>
        <v>0</v>
      </c>
      <c r="AB71" s="610">
        <f>טבלה38[[#This Row],[פת שחרית]]*טבלה38[[#This Row],[מחיר ליח'' כולל ]]</f>
        <v>0</v>
      </c>
      <c r="AC71" s="610">
        <f>טבלה38[[#This Row],[א. בוקר פריסה]]*טבלה38[[#This Row],[מחיר ליח'' כולל ]]</f>
        <v>0</v>
      </c>
      <c r="AD71" s="666">
        <f>טבלה38[[#This Row],[א. צהררים פריסה ]]*טבלה38[[#This Row],[מחיר ליח'' כולל ]]</f>
        <v>0</v>
      </c>
      <c r="AE71" s="666">
        <f>טבלה38[[#This Row],[בוקר קיטים]]*טבלה38[[#This Row],[מחיר ליח'' כולל ]]</f>
        <v>0</v>
      </c>
      <c r="AF71" s="666">
        <f>טבלה38[[#This Row],[צהריים קיטים]]*טבלה38[[#This Row],[מחיר ליח'' כולל ]]</f>
        <v>0</v>
      </c>
      <c r="AG71" s="666">
        <f>טבלה38[[#This Row],[פריסת אמצע]]*טבלה38[[#This Row],[מחיר ליח'' כולל ]]</f>
        <v>0</v>
      </c>
      <c r="AH71" s="666">
        <f>טבלה38[[#This Row],[מרק]]*טבלה38[[#This Row],[מחיר ליח'' כולל ]]</f>
        <v>0</v>
      </c>
      <c r="AI71" s="666">
        <f>טבלה38[[#This Row],[ערב בישול 1]]*טבלה38[[#This Row],[מחיר ליח'' כולל ]]</f>
        <v>0</v>
      </c>
      <c r="AJ71" s="666">
        <f>טבלה38[[#This Row],[ערב בישול 2]]*טבלה38[[#This Row],[מחיר ליח'' כולל ]]</f>
        <v>0</v>
      </c>
      <c r="AK71" s="666">
        <f>טבלה38[[#This Row],[ערב בישול 3]]*טבלה38[[#This Row],[מחיר ליח'' כולל ]]</f>
        <v>0</v>
      </c>
      <c r="AL71" s="666">
        <f>טבלה38[[#This Row],[ערב קטן 1]]*טבלה38[[#This Row],[מחיר ליח'' כולל ]]</f>
        <v>0</v>
      </c>
      <c r="AM71" s="666">
        <f>טבלה38[[#This Row],[ערב קטן 2]]*טבלה38[[#This Row],[מחיר ליח'' כולל ]]</f>
        <v>0</v>
      </c>
      <c r="AN71" s="666">
        <f>טבלה38[[#This Row],[ערב קטן 3]]*טבלה38[[#This Row],[מחיר ליח'' כולל ]]</f>
        <v>0</v>
      </c>
      <c r="AO71" s="666">
        <f>טבלה38[[#This Row],[קיטים מיוחדים]]*טבלה38[[#This Row],[מחיר ליח'' כולל ]]</f>
        <v>0</v>
      </c>
      <c r="AP71" s="666">
        <f>טבלה38[[#This Row],[תוספות]]*טבלה38[[#This Row],[מחיר ליח'' כולל ]]</f>
        <v>0</v>
      </c>
    </row>
    <row r="72" spans="2:42" ht="14.4">
      <c r="B72" s="651">
        <v>5479</v>
      </c>
      <c r="C72" s="650" t="s">
        <v>1021</v>
      </c>
      <c r="D72" s="650" t="s">
        <v>231</v>
      </c>
      <c r="E72" s="650"/>
      <c r="F72" s="649" t="str">
        <f>IF(טבלה38[[#This Row],[סה"כ]]&gt;0,טבלה38[[#This Row],[סה"כ]],"")</f>
        <v/>
      </c>
      <c r="G72" s="656">
        <v>0.17</v>
      </c>
      <c r="H72" s="655">
        <f>טבלה38[[#This Row],[מחיר]]+טבלה38[[#This Row],[% מע"מ]]*טבלה38[[#This Row],[מחיר]]</f>
        <v>0</v>
      </c>
      <c r="I72" s="630">
        <f>טבלה38[[#This Row],[סה"כ]]*טבלה38[[#This Row],[מחיר ליח'' כולל ]]</f>
        <v>0</v>
      </c>
      <c r="J72" s="655">
        <f>SUM(טבלה38[[#This Row],[פימת קפה]:[תוספות]])</f>
        <v>0</v>
      </c>
      <c r="K72" s="655">
        <f>SUMIF(טבלה11517[מקט],טבלה38[[#This Row],[קוד מוצר]],טבלה11517[כמות])</f>
        <v>0</v>
      </c>
      <c r="L72" s="655">
        <f>SUMIF(טבלה115179[מקט],טבלה38[[#This Row],[קוד מוצר]],טבלה115179[כמות])</f>
        <v>0</v>
      </c>
      <c r="M72" s="655">
        <f>SUMIF(טבלה115[מקט],טבלה38[[#This Row],[קוד מוצר]],טבלה115[כמות])</f>
        <v>0</v>
      </c>
      <c r="N72" s="655">
        <f>SUMIF(טבלה1[מק"ט],טבלה38[[#This Row],[קוד מוצר]],טבלה1[כמות])</f>
        <v>0</v>
      </c>
      <c r="O72" s="655">
        <f>SUMIF(טבלה8[מק"ט],טבלה38[[#This Row],[קוד מוצר]],טבלה8[הזמנה])</f>
        <v>0</v>
      </c>
      <c r="P72" s="655">
        <f>SUMIF(טבלה15[מק"ט],טבלה38[[#This Row],[קוד מוצר]],טבלה15[הזמנה])</f>
        <v>0</v>
      </c>
      <c r="Q72" s="655">
        <f>SUMIF(טבלה1151718[מקט],טבלה38[[#This Row],[קוד מוצר]],טבלה1151718[כמות])</f>
        <v>0</v>
      </c>
      <c r="R72" s="655">
        <f>SUMIF(טבלה125[מקט],טבלה38[[#This Row],[קוד מוצר]],טבלה125[כמות])</f>
        <v>0</v>
      </c>
      <c r="S72" s="655">
        <f>SUMIF(טבלה33[מק"ט],טבלה38[[#This Row],[קוד מוצר]],טבלה33[הזמנה])</f>
        <v>0</v>
      </c>
      <c r="T72" s="655">
        <f>SUMIF(טבלה34[עמודה1],טבלה38[[#This Row],[קוד מוצר]],טבלה34[הזמנה])</f>
        <v>0</v>
      </c>
      <c r="U72" s="655">
        <f>SUMIF(טבלה35[עמודה1],טבלה38[[#This Row],[קוד מוצר]],טבלה35[הזמנה])</f>
        <v>0</v>
      </c>
      <c r="V72" s="655">
        <f>SUMIF(טבלה3338[מק"ט],טבלה38[[#This Row],[קוד מוצר]],טבלה3338[הזמנה])</f>
        <v>0</v>
      </c>
      <c r="W72" s="655">
        <f>SUMIF(טבלה3540[עמודה1],טבלה38[[#This Row],[קוד מוצר]],טבלה3540[הזמנה])</f>
        <v>0</v>
      </c>
      <c r="X72" s="655">
        <f>SUMIF(טבלה3441[עמודה1],טבלה38[[#This Row],[קוד מוצר]],טבלה3441[הזמנה])</f>
        <v>0</v>
      </c>
      <c r="Y72" s="655">
        <f>SUMIF(טבלה24[מקט],טבלה38[[#This Row],[קוד מוצר]],טבלה24[כמות])</f>
        <v>0</v>
      </c>
      <c r="Z72" s="655">
        <f>SUMIF(טבלה628[קוד מוצר],טבלה38[[#This Row],[קוד מוצר]],טבלה628[תוספת])</f>
        <v>0</v>
      </c>
      <c r="AA72" s="610">
        <f>טבלה38[[#This Row],[פימת קפה]]*טבלה38[[#This Row],[מחיר ליח'' כולל ]]</f>
        <v>0</v>
      </c>
      <c r="AB72" s="610">
        <f>טבלה38[[#This Row],[פת שחרית]]*טבלה38[[#This Row],[מחיר ליח'' כולל ]]</f>
        <v>0</v>
      </c>
      <c r="AC72" s="610">
        <f>טבלה38[[#This Row],[א. בוקר פריסה]]*טבלה38[[#This Row],[מחיר ליח'' כולל ]]</f>
        <v>0</v>
      </c>
      <c r="AD72" s="666">
        <f>טבלה38[[#This Row],[א. צהררים פריסה ]]*טבלה38[[#This Row],[מחיר ליח'' כולל ]]</f>
        <v>0</v>
      </c>
      <c r="AE72" s="666">
        <f>טבלה38[[#This Row],[בוקר קיטים]]*טבלה38[[#This Row],[מחיר ליח'' כולל ]]</f>
        <v>0</v>
      </c>
      <c r="AF72" s="666">
        <f>טבלה38[[#This Row],[צהריים קיטים]]*טבלה38[[#This Row],[מחיר ליח'' כולל ]]</f>
        <v>0</v>
      </c>
      <c r="AG72" s="666">
        <f>טבלה38[[#This Row],[פריסת אמצע]]*טבלה38[[#This Row],[מחיר ליח'' כולל ]]</f>
        <v>0</v>
      </c>
      <c r="AH72" s="666">
        <f>טבלה38[[#This Row],[מרק]]*טבלה38[[#This Row],[מחיר ליח'' כולל ]]</f>
        <v>0</v>
      </c>
      <c r="AI72" s="666">
        <f>טבלה38[[#This Row],[ערב בישול 1]]*טבלה38[[#This Row],[מחיר ליח'' כולל ]]</f>
        <v>0</v>
      </c>
      <c r="AJ72" s="666">
        <f>טבלה38[[#This Row],[ערב בישול 2]]*טבלה38[[#This Row],[מחיר ליח'' כולל ]]</f>
        <v>0</v>
      </c>
      <c r="AK72" s="666">
        <f>טבלה38[[#This Row],[ערב בישול 3]]*טבלה38[[#This Row],[מחיר ליח'' כולל ]]</f>
        <v>0</v>
      </c>
      <c r="AL72" s="666">
        <f>טבלה38[[#This Row],[ערב קטן 1]]*טבלה38[[#This Row],[מחיר ליח'' כולל ]]</f>
        <v>0</v>
      </c>
      <c r="AM72" s="666">
        <f>טבלה38[[#This Row],[ערב קטן 2]]*טבלה38[[#This Row],[מחיר ליח'' כולל ]]</f>
        <v>0</v>
      </c>
      <c r="AN72" s="666">
        <f>טבלה38[[#This Row],[ערב קטן 3]]*טבלה38[[#This Row],[מחיר ליח'' כולל ]]</f>
        <v>0</v>
      </c>
      <c r="AO72" s="666">
        <f>טבלה38[[#This Row],[קיטים מיוחדים]]*טבלה38[[#This Row],[מחיר ליח'' כולל ]]</f>
        <v>0</v>
      </c>
      <c r="AP72" s="666">
        <f>טבלה38[[#This Row],[תוספות]]*טבלה38[[#This Row],[מחיר ליח'' כולל ]]</f>
        <v>0</v>
      </c>
    </row>
    <row r="73" spans="2:42" ht="14.4">
      <c r="B73" s="651">
        <v>5858</v>
      </c>
      <c r="C73" s="650" t="s">
        <v>1064</v>
      </c>
      <c r="D73" s="650" t="s">
        <v>240</v>
      </c>
      <c r="E73" s="650"/>
      <c r="F73" s="649" t="str">
        <f>IF(טבלה38[[#This Row],[סה"כ]]&gt;0,טבלה38[[#This Row],[סה"כ]],"")</f>
        <v/>
      </c>
      <c r="G73" s="656">
        <v>0.17</v>
      </c>
      <c r="H73" s="655">
        <f>טבלה38[[#This Row],[מחיר]]+טבלה38[[#This Row],[% מע"מ]]*טבלה38[[#This Row],[מחיר]]</f>
        <v>0</v>
      </c>
      <c r="I73" s="630">
        <f>טבלה38[[#This Row],[סה"כ]]*טבלה38[[#This Row],[מחיר ליח'' כולל ]]</f>
        <v>0</v>
      </c>
      <c r="J73" s="655">
        <f>SUM(טבלה38[[#This Row],[פימת קפה]:[תוספות]])</f>
        <v>0</v>
      </c>
      <c r="K73" s="655">
        <f>SUMIF(טבלה11517[מקט],טבלה38[[#This Row],[קוד מוצר]],טבלה11517[כמות])</f>
        <v>0</v>
      </c>
      <c r="L73" s="655">
        <f>SUMIF(טבלה115179[מקט],טבלה38[[#This Row],[קוד מוצר]],טבלה115179[כמות])</f>
        <v>0</v>
      </c>
      <c r="M73" s="655">
        <f>SUMIF(טבלה115[מקט],טבלה38[[#This Row],[קוד מוצר]],טבלה115[כמות])</f>
        <v>0</v>
      </c>
      <c r="N73" s="655">
        <f>SUMIF(טבלה1[מק"ט],טבלה38[[#This Row],[קוד מוצר]],טבלה1[כמות])</f>
        <v>0</v>
      </c>
      <c r="O73" s="655">
        <f>SUMIF(טבלה8[מק"ט],טבלה38[[#This Row],[קוד מוצר]],טבלה8[הזמנה])</f>
        <v>0</v>
      </c>
      <c r="P73" s="655">
        <f>SUMIF(טבלה15[מק"ט],טבלה38[[#This Row],[קוד מוצר]],טבלה15[הזמנה])</f>
        <v>0</v>
      </c>
      <c r="Q73" s="655">
        <f>SUMIF(טבלה1151718[מקט],טבלה38[[#This Row],[קוד מוצר]],טבלה1151718[כמות])</f>
        <v>0</v>
      </c>
      <c r="R73" s="655">
        <f>SUMIF(טבלה125[מקט],טבלה38[[#This Row],[קוד מוצר]],טבלה125[כמות])</f>
        <v>0</v>
      </c>
      <c r="S73" s="655">
        <f>SUMIF(טבלה33[מק"ט],טבלה38[[#This Row],[קוד מוצר]],טבלה33[הזמנה])</f>
        <v>0</v>
      </c>
      <c r="T73" s="655">
        <f>SUMIF(טבלה34[עמודה1],טבלה38[[#This Row],[קוד מוצר]],טבלה34[הזמנה])</f>
        <v>0</v>
      </c>
      <c r="U73" s="655">
        <f>SUMIF(טבלה35[עמודה1],טבלה38[[#This Row],[קוד מוצר]],טבלה35[הזמנה])</f>
        <v>0</v>
      </c>
      <c r="V73" s="655">
        <f>SUMIF(טבלה3338[מק"ט],טבלה38[[#This Row],[קוד מוצר]],טבלה3338[הזמנה])</f>
        <v>0</v>
      </c>
      <c r="W73" s="655">
        <f>SUMIF(טבלה3540[עמודה1],טבלה38[[#This Row],[קוד מוצר]],טבלה3540[הזמנה])</f>
        <v>0</v>
      </c>
      <c r="X73" s="655">
        <f>SUMIF(טבלה3441[עמודה1],טבלה38[[#This Row],[קוד מוצר]],טבלה3441[הזמנה])</f>
        <v>0</v>
      </c>
      <c r="Y73" s="655">
        <f>SUMIF(טבלה24[מקט],טבלה38[[#This Row],[קוד מוצר]],טבלה24[כמות])</f>
        <v>0</v>
      </c>
      <c r="Z73" s="655">
        <f>SUMIF(טבלה628[קוד מוצר],טבלה38[[#This Row],[קוד מוצר]],טבלה628[תוספת])</f>
        <v>0</v>
      </c>
      <c r="AA73" s="610">
        <f>טבלה38[[#This Row],[פימת קפה]]*טבלה38[[#This Row],[מחיר ליח'' כולל ]]</f>
        <v>0</v>
      </c>
      <c r="AB73" s="610">
        <f>טבלה38[[#This Row],[פת שחרית]]*טבלה38[[#This Row],[מחיר ליח'' כולל ]]</f>
        <v>0</v>
      </c>
      <c r="AC73" s="610">
        <f>טבלה38[[#This Row],[א. בוקר פריסה]]*טבלה38[[#This Row],[מחיר ליח'' כולל ]]</f>
        <v>0</v>
      </c>
      <c r="AD73" s="666">
        <f>טבלה38[[#This Row],[א. צהררים פריסה ]]*טבלה38[[#This Row],[מחיר ליח'' כולל ]]</f>
        <v>0</v>
      </c>
      <c r="AE73" s="666">
        <f>טבלה38[[#This Row],[בוקר קיטים]]*טבלה38[[#This Row],[מחיר ליח'' כולל ]]</f>
        <v>0</v>
      </c>
      <c r="AF73" s="666">
        <f>טבלה38[[#This Row],[צהריים קיטים]]*טבלה38[[#This Row],[מחיר ליח'' כולל ]]</f>
        <v>0</v>
      </c>
      <c r="AG73" s="666">
        <f>טבלה38[[#This Row],[פריסת אמצע]]*טבלה38[[#This Row],[מחיר ליח'' כולל ]]</f>
        <v>0</v>
      </c>
      <c r="AH73" s="666">
        <f>טבלה38[[#This Row],[מרק]]*טבלה38[[#This Row],[מחיר ליח'' כולל ]]</f>
        <v>0</v>
      </c>
      <c r="AI73" s="666">
        <f>טבלה38[[#This Row],[ערב בישול 1]]*טבלה38[[#This Row],[מחיר ליח'' כולל ]]</f>
        <v>0</v>
      </c>
      <c r="AJ73" s="666">
        <f>טבלה38[[#This Row],[ערב בישול 2]]*טבלה38[[#This Row],[מחיר ליח'' כולל ]]</f>
        <v>0</v>
      </c>
      <c r="AK73" s="666">
        <f>טבלה38[[#This Row],[ערב בישול 3]]*טבלה38[[#This Row],[מחיר ליח'' כולל ]]</f>
        <v>0</v>
      </c>
      <c r="AL73" s="666">
        <f>טבלה38[[#This Row],[ערב קטן 1]]*טבלה38[[#This Row],[מחיר ליח'' כולל ]]</f>
        <v>0</v>
      </c>
      <c r="AM73" s="666">
        <f>טבלה38[[#This Row],[ערב קטן 2]]*טבלה38[[#This Row],[מחיר ליח'' כולל ]]</f>
        <v>0</v>
      </c>
      <c r="AN73" s="666">
        <f>טבלה38[[#This Row],[ערב קטן 3]]*טבלה38[[#This Row],[מחיר ליח'' כולל ]]</f>
        <v>0</v>
      </c>
      <c r="AO73" s="666">
        <f>טבלה38[[#This Row],[קיטים מיוחדים]]*טבלה38[[#This Row],[מחיר ליח'' כולל ]]</f>
        <v>0</v>
      </c>
      <c r="AP73" s="666">
        <f>טבלה38[[#This Row],[תוספות]]*טבלה38[[#This Row],[מחיר ליח'' כולל ]]</f>
        <v>0</v>
      </c>
    </row>
    <row r="74" spans="2:42" ht="14.4">
      <c r="B74" s="651">
        <v>6463</v>
      </c>
      <c r="C74" s="650" t="s">
        <v>1079</v>
      </c>
      <c r="D74" s="650" t="s">
        <v>602</v>
      </c>
      <c r="E74" s="650"/>
      <c r="F74" s="649" t="str">
        <f>IF(טבלה38[[#This Row],[סה"כ]]&gt;0,טבלה38[[#This Row],[סה"כ]],"")</f>
        <v/>
      </c>
      <c r="G74" s="656">
        <v>0.17</v>
      </c>
      <c r="H74" s="655">
        <f>טבלה38[[#This Row],[מחיר]]+טבלה38[[#This Row],[% מע"מ]]*טבלה38[[#This Row],[מחיר]]</f>
        <v>0</v>
      </c>
      <c r="I74" s="630">
        <f>טבלה38[[#This Row],[סה"כ]]*טבלה38[[#This Row],[מחיר ליח'' כולל ]]</f>
        <v>0</v>
      </c>
      <c r="J74" s="655">
        <f>SUM(טבלה38[[#This Row],[פימת קפה]:[תוספות]])</f>
        <v>0</v>
      </c>
      <c r="K74" s="655">
        <f>SUMIF(טבלה11517[מקט],טבלה38[[#This Row],[קוד מוצר]],טבלה11517[כמות])</f>
        <v>0</v>
      </c>
      <c r="L74" s="655">
        <f>SUMIF(טבלה115179[מקט],טבלה38[[#This Row],[קוד מוצר]],טבלה115179[כמות])</f>
        <v>0</v>
      </c>
      <c r="M74" s="655">
        <f>SUMIF(טבלה115[מקט],טבלה38[[#This Row],[קוד מוצר]],טבלה115[כמות])</f>
        <v>0</v>
      </c>
      <c r="N74" s="655">
        <f>SUMIF(טבלה1[מק"ט],טבלה38[[#This Row],[קוד מוצר]],טבלה1[כמות])</f>
        <v>0</v>
      </c>
      <c r="O74" s="655">
        <f>SUMIF(טבלה8[מק"ט],טבלה38[[#This Row],[קוד מוצר]],טבלה8[הזמנה])</f>
        <v>0</v>
      </c>
      <c r="P74" s="655">
        <f>SUMIF(טבלה15[מק"ט],טבלה38[[#This Row],[קוד מוצר]],טבלה15[הזמנה])</f>
        <v>0</v>
      </c>
      <c r="Q74" s="655">
        <f>SUMIF(טבלה1151718[מקט],טבלה38[[#This Row],[קוד מוצר]],טבלה1151718[כמות])</f>
        <v>0</v>
      </c>
      <c r="R74" s="655">
        <f>SUMIF(טבלה125[מקט],טבלה38[[#This Row],[קוד מוצר]],טבלה125[כמות])</f>
        <v>0</v>
      </c>
      <c r="S74" s="655">
        <f>SUMIF(טבלה33[מק"ט],טבלה38[[#This Row],[קוד מוצר]],טבלה33[הזמנה])</f>
        <v>0</v>
      </c>
      <c r="T74" s="655">
        <f>SUMIF(טבלה34[עמודה1],טבלה38[[#This Row],[קוד מוצר]],טבלה34[הזמנה])</f>
        <v>0</v>
      </c>
      <c r="U74" s="655">
        <f>SUMIF(טבלה35[עמודה1],טבלה38[[#This Row],[קוד מוצר]],טבלה35[הזמנה])</f>
        <v>0</v>
      </c>
      <c r="V74" s="655">
        <f>SUMIF(טבלה3338[מק"ט],טבלה38[[#This Row],[קוד מוצר]],טבלה3338[הזמנה])</f>
        <v>0</v>
      </c>
      <c r="W74" s="655">
        <f>SUMIF(טבלה3540[עמודה1],טבלה38[[#This Row],[קוד מוצר]],טבלה3540[הזמנה])</f>
        <v>0</v>
      </c>
      <c r="X74" s="655">
        <f>SUMIF(טבלה3441[עמודה1],טבלה38[[#This Row],[קוד מוצר]],טבלה3441[הזמנה])</f>
        <v>0</v>
      </c>
      <c r="Y74" s="655">
        <f>SUMIF(טבלה24[מקט],טבלה38[[#This Row],[קוד מוצר]],טבלה24[כמות])</f>
        <v>0</v>
      </c>
      <c r="Z74" s="655">
        <f>SUMIF(טבלה628[קוד מוצר],טבלה38[[#This Row],[קוד מוצר]],טבלה628[תוספת])</f>
        <v>0</v>
      </c>
      <c r="AA74" s="610">
        <f>טבלה38[[#This Row],[פימת קפה]]*טבלה38[[#This Row],[מחיר ליח'' כולל ]]</f>
        <v>0</v>
      </c>
      <c r="AB74" s="610">
        <f>טבלה38[[#This Row],[פת שחרית]]*טבלה38[[#This Row],[מחיר ליח'' כולל ]]</f>
        <v>0</v>
      </c>
      <c r="AC74" s="610">
        <f>טבלה38[[#This Row],[א. בוקר פריסה]]*טבלה38[[#This Row],[מחיר ליח'' כולל ]]</f>
        <v>0</v>
      </c>
      <c r="AD74" s="666">
        <f>טבלה38[[#This Row],[א. צהררים פריסה ]]*טבלה38[[#This Row],[מחיר ליח'' כולל ]]</f>
        <v>0</v>
      </c>
      <c r="AE74" s="666">
        <f>טבלה38[[#This Row],[בוקר קיטים]]*טבלה38[[#This Row],[מחיר ליח'' כולל ]]</f>
        <v>0</v>
      </c>
      <c r="AF74" s="666">
        <f>טבלה38[[#This Row],[צהריים קיטים]]*טבלה38[[#This Row],[מחיר ליח'' כולל ]]</f>
        <v>0</v>
      </c>
      <c r="AG74" s="666">
        <f>טבלה38[[#This Row],[פריסת אמצע]]*טבלה38[[#This Row],[מחיר ליח'' כולל ]]</f>
        <v>0</v>
      </c>
      <c r="AH74" s="666">
        <f>טבלה38[[#This Row],[מרק]]*טבלה38[[#This Row],[מחיר ליח'' כולל ]]</f>
        <v>0</v>
      </c>
      <c r="AI74" s="666">
        <f>טבלה38[[#This Row],[ערב בישול 1]]*טבלה38[[#This Row],[מחיר ליח'' כולל ]]</f>
        <v>0</v>
      </c>
      <c r="AJ74" s="666">
        <f>טבלה38[[#This Row],[ערב בישול 2]]*טבלה38[[#This Row],[מחיר ליח'' כולל ]]</f>
        <v>0</v>
      </c>
      <c r="AK74" s="666">
        <f>טבלה38[[#This Row],[ערב בישול 3]]*טבלה38[[#This Row],[מחיר ליח'' כולל ]]</f>
        <v>0</v>
      </c>
      <c r="AL74" s="666">
        <f>טבלה38[[#This Row],[ערב קטן 1]]*טבלה38[[#This Row],[מחיר ליח'' כולל ]]</f>
        <v>0</v>
      </c>
      <c r="AM74" s="666">
        <f>טבלה38[[#This Row],[ערב קטן 2]]*טבלה38[[#This Row],[מחיר ליח'' כולל ]]</f>
        <v>0</v>
      </c>
      <c r="AN74" s="666">
        <f>טבלה38[[#This Row],[ערב קטן 3]]*טבלה38[[#This Row],[מחיר ליח'' כולל ]]</f>
        <v>0</v>
      </c>
      <c r="AO74" s="666">
        <f>טבלה38[[#This Row],[קיטים מיוחדים]]*טבלה38[[#This Row],[מחיר ליח'' כולל ]]</f>
        <v>0</v>
      </c>
      <c r="AP74" s="666">
        <f>טבלה38[[#This Row],[תוספות]]*טבלה38[[#This Row],[מחיר ליח'' כולל ]]</f>
        <v>0</v>
      </c>
    </row>
    <row r="75" spans="2:42" ht="14.4">
      <c r="B75" s="651">
        <v>1014</v>
      </c>
      <c r="C75" s="650" t="s">
        <v>1138</v>
      </c>
      <c r="D75" s="650" t="s">
        <v>602</v>
      </c>
      <c r="E75" s="650"/>
      <c r="F75" s="649" t="str">
        <f>IF(טבלה38[[#This Row],[סה"כ]]&gt;0,טבלה38[[#This Row],[סה"כ]],"")</f>
        <v/>
      </c>
      <c r="G75" s="656">
        <v>0.17</v>
      </c>
      <c r="H75" s="655">
        <f>טבלה38[[#This Row],[מחיר]]+טבלה38[[#This Row],[% מע"מ]]*טבלה38[[#This Row],[מחיר]]</f>
        <v>0</v>
      </c>
      <c r="I75" s="630">
        <f>טבלה38[[#This Row],[סה"כ]]*טבלה38[[#This Row],[מחיר ליח'' כולל ]]</f>
        <v>0</v>
      </c>
      <c r="J75" s="655">
        <f>SUM(טבלה38[[#This Row],[פימת קפה]:[תוספות]])</f>
        <v>0</v>
      </c>
      <c r="K75" s="655">
        <f>SUMIF(טבלה11517[מקט],טבלה38[[#This Row],[קוד מוצר]],טבלה11517[כמות])</f>
        <v>0</v>
      </c>
      <c r="L75" s="655">
        <f>SUMIF(טבלה115179[מקט],טבלה38[[#This Row],[קוד מוצר]],טבלה115179[כמות])</f>
        <v>0</v>
      </c>
      <c r="M75" s="655">
        <f>SUMIF(טבלה115[מקט],טבלה38[[#This Row],[קוד מוצר]],טבלה115[כמות])</f>
        <v>0</v>
      </c>
      <c r="N75" s="655">
        <f>SUMIF(טבלה1[מק"ט],טבלה38[[#This Row],[קוד מוצר]],טבלה1[כמות])</f>
        <v>0</v>
      </c>
      <c r="O75" s="655">
        <f>SUMIF(טבלה8[מק"ט],טבלה38[[#This Row],[קוד מוצר]],טבלה8[הזמנה])</f>
        <v>0</v>
      </c>
      <c r="P75" s="655">
        <f>SUMIF(טבלה15[מק"ט],טבלה38[[#This Row],[קוד מוצר]],טבלה15[הזמנה])</f>
        <v>0</v>
      </c>
      <c r="Q75" s="655">
        <f>SUMIF(טבלה1151718[מקט],טבלה38[[#This Row],[קוד מוצר]],טבלה1151718[כמות])</f>
        <v>0</v>
      </c>
      <c r="R75" s="655">
        <f>SUMIF(טבלה125[מקט],טבלה38[[#This Row],[קוד מוצר]],טבלה125[כמות])</f>
        <v>0</v>
      </c>
      <c r="S75" s="655">
        <f>SUMIF(טבלה33[מק"ט],טבלה38[[#This Row],[קוד מוצר]],טבלה33[הזמנה])</f>
        <v>0</v>
      </c>
      <c r="T75" s="655">
        <f>SUMIF(טבלה34[עמודה1],טבלה38[[#This Row],[קוד מוצר]],טבלה34[הזמנה])</f>
        <v>0</v>
      </c>
      <c r="U75" s="655">
        <f>SUMIF(טבלה35[עמודה1],טבלה38[[#This Row],[קוד מוצר]],טבלה35[הזמנה])</f>
        <v>0</v>
      </c>
      <c r="V75" s="655">
        <f>SUMIF(טבלה3338[מק"ט],טבלה38[[#This Row],[קוד מוצר]],טבלה3338[הזמנה])</f>
        <v>0</v>
      </c>
      <c r="W75" s="655">
        <f>SUMIF(טבלה3540[עמודה1],טבלה38[[#This Row],[קוד מוצר]],טבלה3540[הזמנה])</f>
        <v>0</v>
      </c>
      <c r="X75" s="655">
        <f>SUMIF(טבלה3441[עמודה1],טבלה38[[#This Row],[קוד מוצר]],טבלה3441[הזמנה])</f>
        <v>0</v>
      </c>
      <c r="Y75" s="655">
        <f>SUMIF(טבלה24[מקט],טבלה38[[#This Row],[קוד מוצר]],טבלה24[כמות])</f>
        <v>0</v>
      </c>
      <c r="Z75" s="655">
        <f>SUMIF(טבלה628[קוד מוצר],טבלה38[[#This Row],[קוד מוצר]],טבלה628[תוספת])</f>
        <v>0</v>
      </c>
      <c r="AA75" s="610">
        <f>טבלה38[[#This Row],[פימת קפה]]*טבלה38[[#This Row],[מחיר ליח'' כולל ]]</f>
        <v>0</v>
      </c>
      <c r="AB75" s="610">
        <f>טבלה38[[#This Row],[פת שחרית]]*טבלה38[[#This Row],[מחיר ליח'' כולל ]]</f>
        <v>0</v>
      </c>
      <c r="AC75" s="610">
        <f>טבלה38[[#This Row],[א. בוקר פריסה]]*טבלה38[[#This Row],[מחיר ליח'' כולל ]]</f>
        <v>0</v>
      </c>
      <c r="AD75" s="666">
        <f>טבלה38[[#This Row],[א. צהררים פריסה ]]*טבלה38[[#This Row],[מחיר ליח'' כולל ]]</f>
        <v>0</v>
      </c>
      <c r="AE75" s="666">
        <f>טבלה38[[#This Row],[בוקר קיטים]]*טבלה38[[#This Row],[מחיר ליח'' כולל ]]</f>
        <v>0</v>
      </c>
      <c r="AF75" s="666">
        <f>טבלה38[[#This Row],[צהריים קיטים]]*טבלה38[[#This Row],[מחיר ליח'' כולל ]]</f>
        <v>0</v>
      </c>
      <c r="AG75" s="666">
        <f>טבלה38[[#This Row],[פריסת אמצע]]*טבלה38[[#This Row],[מחיר ליח'' כולל ]]</f>
        <v>0</v>
      </c>
      <c r="AH75" s="666">
        <f>טבלה38[[#This Row],[מרק]]*טבלה38[[#This Row],[מחיר ליח'' כולל ]]</f>
        <v>0</v>
      </c>
      <c r="AI75" s="666">
        <f>טבלה38[[#This Row],[ערב בישול 1]]*טבלה38[[#This Row],[מחיר ליח'' כולל ]]</f>
        <v>0</v>
      </c>
      <c r="AJ75" s="666">
        <f>טבלה38[[#This Row],[ערב בישול 2]]*טבלה38[[#This Row],[מחיר ליח'' כולל ]]</f>
        <v>0</v>
      </c>
      <c r="AK75" s="666">
        <f>טבלה38[[#This Row],[ערב בישול 3]]*טבלה38[[#This Row],[מחיר ליח'' כולל ]]</f>
        <v>0</v>
      </c>
      <c r="AL75" s="666">
        <f>טבלה38[[#This Row],[ערב קטן 1]]*טבלה38[[#This Row],[מחיר ליח'' כולל ]]</f>
        <v>0</v>
      </c>
      <c r="AM75" s="666">
        <f>טבלה38[[#This Row],[ערב קטן 2]]*טבלה38[[#This Row],[מחיר ליח'' כולל ]]</f>
        <v>0</v>
      </c>
      <c r="AN75" s="666">
        <f>טבלה38[[#This Row],[ערב קטן 3]]*טבלה38[[#This Row],[מחיר ליח'' כולל ]]</f>
        <v>0</v>
      </c>
      <c r="AO75" s="666">
        <f>טבלה38[[#This Row],[קיטים מיוחדים]]*טבלה38[[#This Row],[מחיר ליח'' כולל ]]</f>
        <v>0</v>
      </c>
      <c r="AP75" s="666">
        <f>טבלה38[[#This Row],[תוספות]]*טבלה38[[#This Row],[מחיר ליח'' כולל ]]</f>
        <v>0</v>
      </c>
    </row>
    <row r="76" spans="2:42" ht="14.4">
      <c r="B76" s="651">
        <v>1238</v>
      </c>
      <c r="C76" s="650" t="s">
        <v>947</v>
      </c>
      <c r="D76" s="650" t="s">
        <v>602</v>
      </c>
      <c r="E76" s="650"/>
      <c r="F76" s="649" t="str">
        <f>IF(טבלה38[[#This Row],[סה"כ]]&gt;0,טבלה38[[#This Row],[סה"כ]],"")</f>
        <v/>
      </c>
      <c r="G76" s="656">
        <v>0.17</v>
      </c>
      <c r="H76" s="655">
        <f>טבלה38[[#This Row],[מחיר]]+טבלה38[[#This Row],[% מע"מ]]*טבלה38[[#This Row],[מחיר]]</f>
        <v>0</v>
      </c>
      <c r="I76" s="630">
        <f>טבלה38[[#This Row],[סה"כ]]*טבלה38[[#This Row],[מחיר ליח'' כולל ]]</f>
        <v>0</v>
      </c>
      <c r="J76" s="655">
        <f>SUM(טבלה38[[#This Row],[פימת קפה]:[תוספות]])</f>
        <v>0</v>
      </c>
      <c r="K76" s="655">
        <f>SUMIF(טבלה11517[מקט],טבלה38[[#This Row],[קוד מוצר]],טבלה11517[כמות])</f>
        <v>0</v>
      </c>
      <c r="L76" s="655">
        <f>SUMIF(טבלה115179[מקט],טבלה38[[#This Row],[קוד מוצר]],טבלה115179[כמות])</f>
        <v>0</v>
      </c>
      <c r="M76" s="655">
        <f>SUMIF(טבלה115[מקט],טבלה38[[#This Row],[קוד מוצר]],טבלה115[כמות])</f>
        <v>0</v>
      </c>
      <c r="N76" s="655">
        <f>SUMIF(טבלה1[מק"ט],טבלה38[[#This Row],[קוד מוצר]],טבלה1[כמות])</f>
        <v>0</v>
      </c>
      <c r="O76" s="655">
        <f>SUMIF(טבלה8[מק"ט],טבלה38[[#This Row],[קוד מוצר]],טבלה8[הזמנה])</f>
        <v>0</v>
      </c>
      <c r="P76" s="655">
        <f>SUMIF(טבלה15[מק"ט],טבלה38[[#This Row],[קוד מוצר]],טבלה15[הזמנה])</f>
        <v>0</v>
      </c>
      <c r="Q76" s="655">
        <f>SUMIF(טבלה1151718[מקט],טבלה38[[#This Row],[קוד מוצר]],טבלה1151718[כמות])</f>
        <v>0</v>
      </c>
      <c r="R76" s="655">
        <f>SUMIF(טבלה125[מקט],טבלה38[[#This Row],[קוד מוצר]],טבלה125[כמות])</f>
        <v>0</v>
      </c>
      <c r="S76" s="655">
        <f>SUMIF(טבלה33[מק"ט],טבלה38[[#This Row],[קוד מוצר]],טבלה33[הזמנה])</f>
        <v>0</v>
      </c>
      <c r="T76" s="655">
        <f>SUMIF(טבלה34[עמודה1],טבלה38[[#This Row],[קוד מוצר]],טבלה34[הזמנה])</f>
        <v>0</v>
      </c>
      <c r="U76" s="655">
        <f>SUMIF(טבלה35[עמודה1],טבלה38[[#This Row],[קוד מוצר]],טבלה35[הזמנה])</f>
        <v>0</v>
      </c>
      <c r="V76" s="655">
        <f>SUMIF(טבלה3338[מק"ט],טבלה38[[#This Row],[קוד מוצר]],טבלה3338[הזמנה])</f>
        <v>0</v>
      </c>
      <c r="W76" s="655">
        <f>SUMIF(טבלה3540[עמודה1],טבלה38[[#This Row],[קוד מוצר]],טבלה3540[הזמנה])</f>
        <v>0</v>
      </c>
      <c r="X76" s="655">
        <f>SUMIF(טבלה3441[עמודה1],טבלה38[[#This Row],[קוד מוצר]],טבלה3441[הזמנה])</f>
        <v>0</v>
      </c>
      <c r="Y76" s="655">
        <f>SUMIF(טבלה24[מקט],טבלה38[[#This Row],[קוד מוצר]],טבלה24[כמות])</f>
        <v>0</v>
      </c>
      <c r="Z76" s="655">
        <f>SUMIF(טבלה628[קוד מוצר],טבלה38[[#This Row],[קוד מוצר]],טבלה628[תוספת])</f>
        <v>0</v>
      </c>
      <c r="AA76" s="610">
        <f>טבלה38[[#This Row],[פימת קפה]]*טבלה38[[#This Row],[מחיר ליח'' כולל ]]</f>
        <v>0</v>
      </c>
      <c r="AB76" s="610">
        <f>טבלה38[[#This Row],[פת שחרית]]*טבלה38[[#This Row],[מחיר ליח'' כולל ]]</f>
        <v>0</v>
      </c>
      <c r="AC76" s="610">
        <f>טבלה38[[#This Row],[א. בוקר פריסה]]*טבלה38[[#This Row],[מחיר ליח'' כולל ]]</f>
        <v>0</v>
      </c>
      <c r="AD76" s="666">
        <f>טבלה38[[#This Row],[א. צהררים פריסה ]]*טבלה38[[#This Row],[מחיר ליח'' כולל ]]</f>
        <v>0</v>
      </c>
      <c r="AE76" s="666">
        <f>טבלה38[[#This Row],[בוקר קיטים]]*טבלה38[[#This Row],[מחיר ליח'' כולל ]]</f>
        <v>0</v>
      </c>
      <c r="AF76" s="666">
        <f>טבלה38[[#This Row],[צהריים קיטים]]*טבלה38[[#This Row],[מחיר ליח'' כולל ]]</f>
        <v>0</v>
      </c>
      <c r="AG76" s="666">
        <f>טבלה38[[#This Row],[פריסת אמצע]]*טבלה38[[#This Row],[מחיר ליח'' כולל ]]</f>
        <v>0</v>
      </c>
      <c r="AH76" s="666">
        <f>טבלה38[[#This Row],[מרק]]*טבלה38[[#This Row],[מחיר ליח'' כולל ]]</f>
        <v>0</v>
      </c>
      <c r="AI76" s="666">
        <f>טבלה38[[#This Row],[ערב בישול 1]]*טבלה38[[#This Row],[מחיר ליח'' כולל ]]</f>
        <v>0</v>
      </c>
      <c r="AJ76" s="666">
        <f>טבלה38[[#This Row],[ערב בישול 2]]*טבלה38[[#This Row],[מחיר ליח'' כולל ]]</f>
        <v>0</v>
      </c>
      <c r="AK76" s="666">
        <f>טבלה38[[#This Row],[ערב בישול 3]]*טבלה38[[#This Row],[מחיר ליח'' כולל ]]</f>
        <v>0</v>
      </c>
      <c r="AL76" s="666">
        <f>טבלה38[[#This Row],[ערב קטן 1]]*טבלה38[[#This Row],[מחיר ליח'' כולל ]]</f>
        <v>0</v>
      </c>
      <c r="AM76" s="666">
        <f>טבלה38[[#This Row],[ערב קטן 2]]*טבלה38[[#This Row],[מחיר ליח'' כולל ]]</f>
        <v>0</v>
      </c>
      <c r="AN76" s="666">
        <f>טבלה38[[#This Row],[ערב קטן 3]]*טבלה38[[#This Row],[מחיר ליח'' כולל ]]</f>
        <v>0</v>
      </c>
      <c r="AO76" s="666">
        <f>טבלה38[[#This Row],[קיטים מיוחדים]]*טבלה38[[#This Row],[מחיר ליח'' כולל ]]</f>
        <v>0</v>
      </c>
      <c r="AP76" s="666">
        <f>טבלה38[[#This Row],[תוספות]]*טבלה38[[#This Row],[מחיר ליח'' כולל ]]</f>
        <v>0</v>
      </c>
    </row>
    <row r="77" spans="2:42" ht="14.4">
      <c r="B77" s="651">
        <v>2164</v>
      </c>
      <c r="C77" s="650" t="s">
        <v>1049</v>
      </c>
      <c r="E77" s="650"/>
      <c r="F77" s="649" t="str">
        <f>IF(טבלה38[[#This Row],[סה"כ]]&gt;0,טבלה38[[#This Row],[סה"כ]],"")</f>
        <v/>
      </c>
      <c r="G77" s="656">
        <v>0.17</v>
      </c>
      <c r="H77" s="655">
        <f>טבלה38[[#This Row],[מחיר]]+טבלה38[[#This Row],[% מע"מ]]*טבלה38[[#This Row],[מחיר]]</f>
        <v>0</v>
      </c>
      <c r="I77" s="630">
        <f>טבלה38[[#This Row],[סה"כ]]*טבלה38[[#This Row],[מחיר ליח'' כולל ]]</f>
        <v>0</v>
      </c>
      <c r="J77" s="655">
        <f>SUM(טבלה38[[#This Row],[פימת קפה]:[תוספות]])</f>
        <v>0</v>
      </c>
      <c r="K77" s="655">
        <f>SUMIF(טבלה11517[מקט],טבלה38[[#This Row],[קוד מוצר]],טבלה11517[כמות])</f>
        <v>0</v>
      </c>
      <c r="L77" s="655">
        <f>SUMIF(טבלה115179[מקט],טבלה38[[#This Row],[קוד מוצר]],טבלה115179[כמות])</f>
        <v>0</v>
      </c>
      <c r="M77" s="655">
        <f>SUMIF(טבלה115[מקט],טבלה38[[#This Row],[קוד מוצר]],טבלה115[כמות])</f>
        <v>0</v>
      </c>
      <c r="N77" s="655">
        <f>SUMIF(טבלה1[מק"ט],טבלה38[[#This Row],[קוד מוצר]],טבלה1[כמות])</f>
        <v>0</v>
      </c>
      <c r="O77" s="655">
        <f>SUMIF(טבלה8[מק"ט],טבלה38[[#This Row],[קוד מוצר]],טבלה8[הזמנה])</f>
        <v>0</v>
      </c>
      <c r="P77" s="655">
        <f>SUMIF(טבלה15[מק"ט],טבלה38[[#This Row],[קוד מוצר]],טבלה15[הזמנה])</f>
        <v>0</v>
      </c>
      <c r="Q77" s="655">
        <f>SUMIF(טבלה1151718[מקט],טבלה38[[#This Row],[קוד מוצר]],טבלה1151718[כמות])</f>
        <v>0</v>
      </c>
      <c r="R77" s="655">
        <f>SUMIF(טבלה125[מקט],טבלה38[[#This Row],[קוד מוצר]],טבלה125[כמות])</f>
        <v>0</v>
      </c>
      <c r="S77" s="655">
        <f>SUMIF(טבלה33[מק"ט],טבלה38[[#This Row],[קוד מוצר]],טבלה33[הזמנה])</f>
        <v>0</v>
      </c>
      <c r="T77" s="655">
        <f>SUMIF(טבלה34[עמודה1],טבלה38[[#This Row],[קוד מוצר]],טבלה34[הזמנה])</f>
        <v>0</v>
      </c>
      <c r="U77" s="655">
        <f>SUMIF(טבלה35[עמודה1],טבלה38[[#This Row],[קוד מוצר]],טבלה35[הזמנה])</f>
        <v>0</v>
      </c>
      <c r="V77" s="655">
        <f>SUMIF(טבלה3338[מק"ט],טבלה38[[#This Row],[קוד מוצר]],טבלה3338[הזמנה])</f>
        <v>0</v>
      </c>
      <c r="W77" s="655">
        <f>SUMIF(טבלה3540[עמודה1],טבלה38[[#This Row],[קוד מוצר]],טבלה3540[הזמנה])</f>
        <v>0</v>
      </c>
      <c r="X77" s="655">
        <f>SUMIF(טבלה3441[עמודה1],טבלה38[[#This Row],[קוד מוצר]],טבלה3441[הזמנה])</f>
        <v>0</v>
      </c>
      <c r="Y77" s="655">
        <f>SUMIF(טבלה24[מקט],טבלה38[[#This Row],[קוד מוצר]],טבלה24[כמות])</f>
        <v>0</v>
      </c>
      <c r="Z77" s="655">
        <f>SUMIF(טבלה628[קוד מוצר],טבלה38[[#This Row],[קוד מוצר]],טבלה628[תוספת])</f>
        <v>0</v>
      </c>
      <c r="AA77" s="610">
        <f>טבלה38[[#This Row],[פימת קפה]]*טבלה38[[#This Row],[מחיר ליח'' כולל ]]</f>
        <v>0</v>
      </c>
      <c r="AB77" s="610">
        <f>טבלה38[[#This Row],[פת שחרית]]*טבלה38[[#This Row],[מחיר ליח'' כולל ]]</f>
        <v>0</v>
      </c>
      <c r="AC77" s="610">
        <f>טבלה38[[#This Row],[א. בוקר פריסה]]*טבלה38[[#This Row],[מחיר ליח'' כולל ]]</f>
        <v>0</v>
      </c>
      <c r="AD77" s="666">
        <f>טבלה38[[#This Row],[א. צהררים פריסה ]]*טבלה38[[#This Row],[מחיר ליח'' כולל ]]</f>
        <v>0</v>
      </c>
      <c r="AE77" s="666">
        <f>טבלה38[[#This Row],[בוקר קיטים]]*טבלה38[[#This Row],[מחיר ליח'' כולל ]]</f>
        <v>0</v>
      </c>
      <c r="AF77" s="666">
        <f>טבלה38[[#This Row],[צהריים קיטים]]*טבלה38[[#This Row],[מחיר ליח'' כולל ]]</f>
        <v>0</v>
      </c>
      <c r="AG77" s="666">
        <f>טבלה38[[#This Row],[פריסת אמצע]]*טבלה38[[#This Row],[מחיר ליח'' כולל ]]</f>
        <v>0</v>
      </c>
      <c r="AH77" s="666">
        <f>טבלה38[[#This Row],[מרק]]*טבלה38[[#This Row],[מחיר ליח'' כולל ]]</f>
        <v>0</v>
      </c>
      <c r="AI77" s="666">
        <f>טבלה38[[#This Row],[ערב בישול 1]]*טבלה38[[#This Row],[מחיר ליח'' כולל ]]</f>
        <v>0</v>
      </c>
      <c r="AJ77" s="666">
        <f>טבלה38[[#This Row],[ערב בישול 2]]*טבלה38[[#This Row],[מחיר ליח'' כולל ]]</f>
        <v>0</v>
      </c>
      <c r="AK77" s="666">
        <f>טבלה38[[#This Row],[ערב בישול 3]]*טבלה38[[#This Row],[מחיר ליח'' כולל ]]</f>
        <v>0</v>
      </c>
      <c r="AL77" s="666">
        <f>טבלה38[[#This Row],[ערב קטן 1]]*טבלה38[[#This Row],[מחיר ליח'' כולל ]]</f>
        <v>0</v>
      </c>
      <c r="AM77" s="666">
        <f>טבלה38[[#This Row],[ערב קטן 2]]*טבלה38[[#This Row],[מחיר ליח'' כולל ]]</f>
        <v>0</v>
      </c>
      <c r="AN77" s="666">
        <f>טבלה38[[#This Row],[ערב קטן 3]]*טבלה38[[#This Row],[מחיר ליח'' כולל ]]</f>
        <v>0</v>
      </c>
      <c r="AO77" s="666">
        <f>טבלה38[[#This Row],[קיטים מיוחדים]]*טבלה38[[#This Row],[מחיר ליח'' כולל ]]</f>
        <v>0</v>
      </c>
      <c r="AP77" s="666">
        <f>טבלה38[[#This Row],[תוספות]]*טבלה38[[#This Row],[מחיר ליח'' כולל ]]</f>
        <v>0</v>
      </c>
    </row>
    <row r="78" spans="2:42" ht="14.4">
      <c r="B78" s="651">
        <v>4913</v>
      </c>
      <c r="C78" s="650" t="s">
        <v>1137</v>
      </c>
      <c r="E78" s="650"/>
      <c r="F78" s="649" t="str">
        <f>IF(טבלה38[[#This Row],[סה"כ]]&gt;0,טבלה38[[#This Row],[סה"כ]],"")</f>
        <v/>
      </c>
      <c r="G78" s="656">
        <v>0.17</v>
      </c>
      <c r="H78" s="655">
        <f>טבלה38[[#This Row],[מחיר]]+טבלה38[[#This Row],[% מע"מ]]*טבלה38[[#This Row],[מחיר]]</f>
        <v>0</v>
      </c>
      <c r="I78" s="630">
        <f>טבלה38[[#This Row],[סה"כ]]*טבלה38[[#This Row],[מחיר ליח'' כולל ]]</f>
        <v>0</v>
      </c>
      <c r="J78" s="655">
        <f>SUM(טבלה38[[#This Row],[פימת קפה]:[תוספות]])</f>
        <v>0</v>
      </c>
      <c r="K78" s="655">
        <f>SUMIF(טבלה11517[מקט],טבלה38[[#This Row],[קוד מוצר]],טבלה11517[כמות])</f>
        <v>0</v>
      </c>
      <c r="L78" s="655">
        <f>SUMIF(טבלה115179[מקט],טבלה38[[#This Row],[קוד מוצר]],טבלה115179[כמות])</f>
        <v>0</v>
      </c>
      <c r="M78" s="655">
        <f>SUMIF(טבלה115[מקט],טבלה38[[#This Row],[קוד מוצר]],טבלה115[כמות])</f>
        <v>0</v>
      </c>
      <c r="N78" s="655">
        <f>SUMIF(טבלה1[מק"ט],טבלה38[[#This Row],[קוד מוצר]],טבלה1[כמות])</f>
        <v>0</v>
      </c>
      <c r="O78" s="655">
        <f>SUMIF(טבלה8[מק"ט],טבלה38[[#This Row],[קוד מוצר]],טבלה8[הזמנה])</f>
        <v>0</v>
      </c>
      <c r="P78" s="655">
        <f>SUMIF(טבלה15[מק"ט],טבלה38[[#This Row],[קוד מוצר]],טבלה15[הזמנה])</f>
        <v>0</v>
      </c>
      <c r="Q78" s="655">
        <f>SUMIF(טבלה1151718[מקט],טבלה38[[#This Row],[קוד מוצר]],טבלה1151718[כמות])</f>
        <v>0</v>
      </c>
      <c r="R78" s="655">
        <f>SUMIF(טבלה125[מקט],טבלה38[[#This Row],[קוד מוצר]],טבלה125[כמות])</f>
        <v>0</v>
      </c>
      <c r="S78" s="655">
        <f>SUMIF(טבלה33[מק"ט],טבלה38[[#This Row],[קוד מוצר]],טבלה33[הזמנה])</f>
        <v>0</v>
      </c>
      <c r="T78" s="655">
        <f>SUMIF(טבלה34[עמודה1],טבלה38[[#This Row],[קוד מוצר]],טבלה34[הזמנה])</f>
        <v>0</v>
      </c>
      <c r="U78" s="655">
        <f>SUMIF(טבלה35[עמודה1],טבלה38[[#This Row],[קוד מוצר]],טבלה35[הזמנה])</f>
        <v>0</v>
      </c>
      <c r="V78" s="655">
        <f>SUMIF(טבלה3338[מק"ט],טבלה38[[#This Row],[קוד מוצר]],טבלה3338[הזמנה])</f>
        <v>0</v>
      </c>
      <c r="W78" s="655">
        <f>SUMIF(טבלה3540[עמודה1],טבלה38[[#This Row],[קוד מוצר]],טבלה3540[הזמנה])</f>
        <v>0</v>
      </c>
      <c r="X78" s="655">
        <f>SUMIF(טבלה3441[עמודה1],טבלה38[[#This Row],[קוד מוצר]],טבלה3441[הזמנה])</f>
        <v>0</v>
      </c>
      <c r="Y78" s="655">
        <f>SUMIF(טבלה24[מקט],טבלה38[[#This Row],[קוד מוצר]],טבלה24[כמות])</f>
        <v>0</v>
      </c>
      <c r="Z78" s="655">
        <f>SUMIF(טבלה628[קוד מוצר],טבלה38[[#This Row],[קוד מוצר]],טבלה628[תוספת])</f>
        <v>0</v>
      </c>
      <c r="AA78" s="610">
        <f>טבלה38[[#This Row],[פימת קפה]]*טבלה38[[#This Row],[מחיר ליח'' כולל ]]</f>
        <v>0</v>
      </c>
      <c r="AB78" s="610">
        <f>טבלה38[[#This Row],[פת שחרית]]*טבלה38[[#This Row],[מחיר ליח'' כולל ]]</f>
        <v>0</v>
      </c>
      <c r="AC78" s="610">
        <f>טבלה38[[#This Row],[א. בוקר פריסה]]*טבלה38[[#This Row],[מחיר ליח'' כולל ]]</f>
        <v>0</v>
      </c>
      <c r="AD78" s="666">
        <f>טבלה38[[#This Row],[א. צהררים פריסה ]]*טבלה38[[#This Row],[מחיר ליח'' כולל ]]</f>
        <v>0</v>
      </c>
      <c r="AE78" s="666">
        <f>טבלה38[[#This Row],[בוקר קיטים]]*טבלה38[[#This Row],[מחיר ליח'' כולל ]]</f>
        <v>0</v>
      </c>
      <c r="AF78" s="666">
        <f>טבלה38[[#This Row],[צהריים קיטים]]*טבלה38[[#This Row],[מחיר ליח'' כולל ]]</f>
        <v>0</v>
      </c>
      <c r="AG78" s="666">
        <f>טבלה38[[#This Row],[פריסת אמצע]]*טבלה38[[#This Row],[מחיר ליח'' כולל ]]</f>
        <v>0</v>
      </c>
      <c r="AH78" s="666">
        <f>טבלה38[[#This Row],[מרק]]*טבלה38[[#This Row],[מחיר ליח'' כולל ]]</f>
        <v>0</v>
      </c>
      <c r="AI78" s="666">
        <f>טבלה38[[#This Row],[ערב בישול 1]]*טבלה38[[#This Row],[מחיר ליח'' כולל ]]</f>
        <v>0</v>
      </c>
      <c r="AJ78" s="666">
        <f>טבלה38[[#This Row],[ערב בישול 2]]*טבלה38[[#This Row],[מחיר ליח'' כולל ]]</f>
        <v>0</v>
      </c>
      <c r="AK78" s="666">
        <f>טבלה38[[#This Row],[ערב בישול 3]]*טבלה38[[#This Row],[מחיר ליח'' כולל ]]</f>
        <v>0</v>
      </c>
      <c r="AL78" s="666">
        <f>טבלה38[[#This Row],[ערב קטן 1]]*טבלה38[[#This Row],[מחיר ליח'' כולל ]]</f>
        <v>0</v>
      </c>
      <c r="AM78" s="666">
        <f>טבלה38[[#This Row],[ערב קטן 2]]*טבלה38[[#This Row],[מחיר ליח'' כולל ]]</f>
        <v>0</v>
      </c>
      <c r="AN78" s="666">
        <f>טבלה38[[#This Row],[ערב קטן 3]]*טבלה38[[#This Row],[מחיר ליח'' כולל ]]</f>
        <v>0</v>
      </c>
      <c r="AO78" s="666">
        <f>טבלה38[[#This Row],[קיטים מיוחדים]]*טבלה38[[#This Row],[מחיר ליח'' כולל ]]</f>
        <v>0</v>
      </c>
      <c r="AP78" s="666">
        <f>טבלה38[[#This Row],[תוספות]]*טבלה38[[#This Row],[מחיר ליח'' כולל ]]</f>
        <v>0</v>
      </c>
    </row>
    <row r="79" spans="2:42" ht="14.4">
      <c r="B79" s="651">
        <v>13</v>
      </c>
      <c r="C79" s="650" t="s">
        <v>1129</v>
      </c>
      <c r="D79" s="650" t="s">
        <v>602</v>
      </c>
      <c r="E79" s="650"/>
      <c r="F79" s="649" t="str">
        <f>IF(טבלה38[[#This Row],[סה"כ]]&gt;0,טבלה38[[#This Row],[סה"כ]],"")</f>
        <v/>
      </c>
      <c r="G79" s="656">
        <v>0.17</v>
      </c>
      <c r="H79" s="655">
        <f>טבלה38[[#This Row],[מחיר]]+טבלה38[[#This Row],[% מע"מ]]*טבלה38[[#This Row],[מחיר]]</f>
        <v>0</v>
      </c>
      <c r="I79" s="630">
        <f>טבלה38[[#This Row],[סה"כ]]*טבלה38[[#This Row],[מחיר ליח'' כולל ]]</f>
        <v>0</v>
      </c>
      <c r="J79" s="655">
        <f>SUM(טבלה38[[#This Row],[פימת קפה]:[תוספות]])</f>
        <v>0</v>
      </c>
      <c r="K79" s="655">
        <f>SUMIF(טבלה11517[מקט],טבלה38[[#This Row],[קוד מוצר]],טבלה11517[כמות])</f>
        <v>0</v>
      </c>
      <c r="L79" s="655">
        <f>SUMIF(טבלה115179[מקט],טבלה38[[#This Row],[קוד מוצר]],טבלה115179[כמות])</f>
        <v>0</v>
      </c>
      <c r="M79" s="655">
        <f>SUMIF(טבלה115[מקט],טבלה38[[#This Row],[קוד מוצר]],טבלה115[כמות])</f>
        <v>0</v>
      </c>
      <c r="N79" s="655">
        <f>SUMIF(טבלה1[מק"ט],טבלה38[[#This Row],[קוד מוצר]],טבלה1[כמות])</f>
        <v>0</v>
      </c>
      <c r="O79" s="655">
        <f>SUMIF(טבלה8[מק"ט],טבלה38[[#This Row],[קוד מוצר]],טבלה8[הזמנה])</f>
        <v>0</v>
      </c>
      <c r="P79" s="655">
        <f>SUMIF(טבלה15[מק"ט],טבלה38[[#This Row],[קוד מוצר]],טבלה15[הזמנה])</f>
        <v>0</v>
      </c>
      <c r="Q79" s="655">
        <f>SUMIF(טבלה1151718[מקט],טבלה38[[#This Row],[קוד מוצר]],טבלה1151718[כמות])</f>
        <v>0</v>
      </c>
      <c r="R79" s="655">
        <f>SUMIF(טבלה125[מקט],טבלה38[[#This Row],[קוד מוצר]],טבלה125[כמות])</f>
        <v>0</v>
      </c>
      <c r="S79" s="655">
        <f>SUMIF(טבלה33[מק"ט],טבלה38[[#This Row],[קוד מוצר]],טבלה33[הזמנה])</f>
        <v>0</v>
      </c>
      <c r="T79" s="655">
        <f>SUMIF(טבלה34[עמודה1],טבלה38[[#This Row],[קוד מוצר]],טבלה34[הזמנה])</f>
        <v>0</v>
      </c>
      <c r="U79" s="655">
        <f>SUMIF(טבלה35[עמודה1],טבלה38[[#This Row],[קוד מוצר]],טבלה35[הזמנה])</f>
        <v>0</v>
      </c>
      <c r="V79" s="655">
        <f>SUMIF(טבלה3338[מק"ט],טבלה38[[#This Row],[קוד מוצר]],טבלה3338[הזמנה])</f>
        <v>0</v>
      </c>
      <c r="W79" s="655">
        <f>SUMIF(טבלה3540[עמודה1],טבלה38[[#This Row],[קוד מוצר]],טבלה3540[הזמנה])</f>
        <v>0</v>
      </c>
      <c r="X79" s="655">
        <f>SUMIF(טבלה3441[עמודה1],טבלה38[[#This Row],[קוד מוצר]],טבלה3441[הזמנה])</f>
        <v>0</v>
      </c>
      <c r="Y79" s="655">
        <f>SUMIF(טבלה24[מקט],טבלה38[[#This Row],[קוד מוצר]],טבלה24[כמות])</f>
        <v>0</v>
      </c>
      <c r="Z79" s="655">
        <f>SUMIF(טבלה628[קוד מוצר],טבלה38[[#This Row],[קוד מוצר]],טבלה628[תוספת])</f>
        <v>0</v>
      </c>
      <c r="AA79" s="610">
        <f>טבלה38[[#This Row],[פימת קפה]]*טבלה38[[#This Row],[מחיר ליח'' כולל ]]</f>
        <v>0</v>
      </c>
      <c r="AB79" s="610">
        <f>טבלה38[[#This Row],[פת שחרית]]*טבלה38[[#This Row],[מחיר ליח'' כולל ]]</f>
        <v>0</v>
      </c>
      <c r="AC79" s="610">
        <f>טבלה38[[#This Row],[א. בוקר פריסה]]*טבלה38[[#This Row],[מחיר ליח'' כולל ]]</f>
        <v>0</v>
      </c>
      <c r="AD79" s="666">
        <f>טבלה38[[#This Row],[א. צהררים פריסה ]]*טבלה38[[#This Row],[מחיר ליח'' כולל ]]</f>
        <v>0</v>
      </c>
      <c r="AE79" s="666">
        <f>טבלה38[[#This Row],[בוקר קיטים]]*טבלה38[[#This Row],[מחיר ליח'' כולל ]]</f>
        <v>0</v>
      </c>
      <c r="AF79" s="666">
        <f>טבלה38[[#This Row],[צהריים קיטים]]*טבלה38[[#This Row],[מחיר ליח'' כולל ]]</f>
        <v>0</v>
      </c>
      <c r="AG79" s="666">
        <f>טבלה38[[#This Row],[פריסת אמצע]]*טבלה38[[#This Row],[מחיר ליח'' כולל ]]</f>
        <v>0</v>
      </c>
      <c r="AH79" s="666">
        <f>טבלה38[[#This Row],[מרק]]*טבלה38[[#This Row],[מחיר ליח'' כולל ]]</f>
        <v>0</v>
      </c>
      <c r="AI79" s="666">
        <f>טבלה38[[#This Row],[ערב בישול 1]]*טבלה38[[#This Row],[מחיר ליח'' כולל ]]</f>
        <v>0</v>
      </c>
      <c r="AJ79" s="666">
        <f>טבלה38[[#This Row],[ערב בישול 2]]*טבלה38[[#This Row],[מחיר ליח'' כולל ]]</f>
        <v>0</v>
      </c>
      <c r="AK79" s="666">
        <f>טבלה38[[#This Row],[ערב בישול 3]]*טבלה38[[#This Row],[מחיר ליח'' כולל ]]</f>
        <v>0</v>
      </c>
      <c r="AL79" s="666">
        <f>טבלה38[[#This Row],[ערב קטן 1]]*טבלה38[[#This Row],[מחיר ליח'' כולל ]]</f>
        <v>0</v>
      </c>
      <c r="AM79" s="666">
        <f>טבלה38[[#This Row],[ערב קטן 2]]*טבלה38[[#This Row],[מחיר ליח'' כולל ]]</f>
        <v>0</v>
      </c>
      <c r="AN79" s="666">
        <f>טבלה38[[#This Row],[ערב קטן 3]]*טבלה38[[#This Row],[מחיר ליח'' כולל ]]</f>
        <v>0</v>
      </c>
      <c r="AO79" s="666">
        <f>טבלה38[[#This Row],[קיטים מיוחדים]]*טבלה38[[#This Row],[מחיר ליח'' כולל ]]</f>
        <v>0</v>
      </c>
      <c r="AP79" s="666">
        <f>טבלה38[[#This Row],[תוספות]]*טבלה38[[#This Row],[מחיר ליח'' כולל ]]</f>
        <v>0</v>
      </c>
    </row>
    <row r="80" spans="2:42" ht="14.4">
      <c r="B80" s="651">
        <v>73</v>
      </c>
      <c r="C80" s="650" t="s">
        <v>362</v>
      </c>
      <c r="D80" s="650" t="s">
        <v>8</v>
      </c>
      <c r="E80" s="650"/>
      <c r="F80" s="649" t="str">
        <f>IF(טבלה38[[#This Row],[סה"כ]]&gt;0,טבלה38[[#This Row],[סה"כ]],"")</f>
        <v/>
      </c>
      <c r="G80" s="656">
        <v>0</v>
      </c>
      <c r="H80" s="655">
        <f>טבלה38[[#This Row],[מחיר]]+טבלה38[[#This Row],[% מע"מ]]*טבלה38[[#This Row],[מחיר]]</f>
        <v>0</v>
      </c>
      <c r="I80" s="630">
        <f>טבלה38[[#This Row],[סה"כ]]*טבלה38[[#This Row],[מחיר ליח'' כולל ]]</f>
        <v>0</v>
      </c>
      <c r="J80" s="655">
        <f>SUM(טבלה38[[#This Row],[פימת קפה]:[תוספות]])</f>
        <v>0</v>
      </c>
      <c r="K80" s="655">
        <f>SUMIF(טבלה11517[מקט],טבלה38[[#This Row],[קוד מוצר]],טבלה11517[כמות])</f>
        <v>0</v>
      </c>
      <c r="L80" s="655">
        <f>SUMIF(טבלה115179[מקט],טבלה38[[#This Row],[קוד מוצר]],טבלה115179[כמות])</f>
        <v>0</v>
      </c>
      <c r="M80" s="655">
        <f>SUMIF(טבלה115[מקט],טבלה38[[#This Row],[קוד מוצר]],טבלה115[כמות])</f>
        <v>0</v>
      </c>
      <c r="N80" s="655">
        <f>SUMIF(טבלה1[מק"ט],טבלה38[[#This Row],[קוד מוצר]],טבלה1[כמות])</f>
        <v>0</v>
      </c>
      <c r="O80" s="655">
        <f>SUMIF(טבלה8[מק"ט],טבלה38[[#This Row],[קוד מוצר]],טבלה8[הזמנה])</f>
        <v>0</v>
      </c>
      <c r="P80" s="655">
        <f>SUMIF(טבלה15[מק"ט],טבלה38[[#This Row],[קוד מוצר]],טבלה15[הזמנה])</f>
        <v>0</v>
      </c>
      <c r="Q80" s="655">
        <f>SUMIF(טבלה1151718[מקט],טבלה38[[#This Row],[קוד מוצר]],טבלה1151718[כמות])</f>
        <v>0</v>
      </c>
      <c r="R80" s="655">
        <f>SUMIF(טבלה125[מקט],טבלה38[[#This Row],[קוד מוצר]],טבלה125[כמות])</f>
        <v>0</v>
      </c>
      <c r="S80" s="655">
        <f>SUMIF(טבלה33[מק"ט],טבלה38[[#This Row],[קוד מוצר]],טבלה33[הזמנה])</f>
        <v>0</v>
      </c>
      <c r="T80" s="655">
        <f>SUMIF(טבלה34[עמודה1],טבלה38[[#This Row],[קוד מוצר]],טבלה34[הזמנה])</f>
        <v>0</v>
      </c>
      <c r="U80" s="655">
        <f>SUMIF(טבלה35[עמודה1],טבלה38[[#This Row],[קוד מוצר]],טבלה35[הזמנה])</f>
        <v>0</v>
      </c>
      <c r="V80" s="655">
        <f>SUMIF(טבלה3338[מק"ט],טבלה38[[#This Row],[קוד מוצר]],טבלה3338[הזמנה])</f>
        <v>0</v>
      </c>
      <c r="W80" s="655">
        <f>SUMIF(טבלה3540[עמודה1],טבלה38[[#This Row],[קוד מוצר]],טבלה3540[הזמנה])</f>
        <v>0</v>
      </c>
      <c r="X80" s="655">
        <f>SUMIF(טבלה3441[עמודה1],טבלה38[[#This Row],[קוד מוצר]],טבלה3441[הזמנה])</f>
        <v>0</v>
      </c>
      <c r="Y80" s="655">
        <f>SUMIF(טבלה24[מקט],טבלה38[[#This Row],[קוד מוצר]],טבלה24[כמות])</f>
        <v>0</v>
      </c>
      <c r="Z80" s="655">
        <f>SUMIF(טבלה628[קוד מוצר],טבלה38[[#This Row],[קוד מוצר]],טבלה628[תוספת])</f>
        <v>0</v>
      </c>
      <c r="AA80" s="610">
        <f>טבלה38[[#This Row],[פימת קפה]]*טבלה38[[#This Row],[מחיר ליח'' כולל ]]</f>
        <v>0</v>
      </c>
      <c r="AB80" s="610">
        <f>טבלה38[[#This Row],[פת שחרית]]*טבלה38[[#This Row],[מחיר ליח'' כולל ]]</f>
        <v>0</v>
      </c>
      <c r="AC80" s="610">
        <f>טבלה38[[#This Row],[א. בוקר פריסה]]*טבלה38[[#This Row],[מחיר ליח'' כולל ]]</f>
        <v>0</v>
      </c>
      <c r="AD80" s="666">
        <f>טבלה38[[#This Row],[א. צהררים פריסה ]]*טבלה38[[#This Row],[מחיר ליח'' כולל ]]</f>
        <v>0</v>
      </c>
      <c r="AE80" s="666">
        <f>טבלה38[[#This Row],[בוקר קיטים]]*טבלה38[[#This Row],[מחיר ליח'' כולל ]]</f>
        <v>0</v>
      </c>
      <c r="AF80" s="666">
        <f>טבלה38[[#This Row],[צהריים קיטים]]*טבלה38[[#This Row],[מחיר ליח'' כולל ]]</f>
        <v>0</v>
      </c>
      <c r="AG80" s="666">
        <f>טבלה38[[#This Row],[פריסת אמצע]]*טבלה38[[#This Row],[מחיר ליח'' כולל ]]</f>
        <v>0</v>
      </c>
      <c r="AH80" s="666">
        <f>טבלה38[[#This Row],[מרק]]*טבלה38[[#This Row],[מחיר ליח'' כולל ]]</f>
        <v>0</v>
      </c>
      <c r="AI80" s="666">
        <f>טבלה38[[#This Row],[ערב בישול 1]]*טבלה38[[#This Row],[מחיר ליח'' כולל ]]</f>
        <v>0</v>
      </c>
      <c r="AJ80" s="666">
        <f>טבלה38[[#This Row],[ערב בישול 2]]*טבלה38[[#This Row],[מחיר ליח'' כולל ]]</f>
        <v>0</v>
      </c>
      <c r="AK80" s="666">
        <f>טבלה38[[#This Row],[ערב בישול 3]]*טבלה38[[#This Row],[מחיר ליח'' כולל ]]</f>
        <v>0</v>
      </c>
      <c r="AL80" s="666">
        <f>טבלה38[[#This Row],[ערב קטן 1]]*טבלה38[[#This Row],[מחיר ליח'' כולל ]]</f>
        <v>0</v>
      </c>
      <c r="AM80" s="666">
        <f>טבלה38[[#This Row],[ערב קטן 2]]*טבלה38[[#This Row],[מחיר ליח'' כולל ]]</f>
        <v>0</v>
      </c>
      <c r="AN80" s="666">
        <f>טבלה38[[#This Row],[ערב קטן 3]]*טבלה38[[#This Row],[מחיר ליח'' כולל ]]</f>
        <v>0</v>
      </c>
      <c r="AO80" s="666">
        <f>טבלה38[[#This Row],[קיטים מיוחדים]]*טבלה38[[#This Row],[מחיר ליח'' כולל ]]</f>
        <v>0</v>
      </c>
      <c r="AP80" s="666">
        <f>טבלה38[[#This Row],[תוספות]]*טבלה38[[#This Row],[מחיר ליח'' כולל ]]</f>
        <v>0</v>
      </c>
    </row>
    <row r="81" spans="2:42" ht="14.4">
      <c r="B81" s="651">
        <v>77</v>
      </c>
      <c r="C81" s="650" t="s">
        <v>1163</v>
      </c>
      <c r="D81" s="650" t="s">
        <v>602</v>
      </c>
      <c r="E81" s="650"/>
      <c r="F81" s="649" t="str">
        <f>IF(טבלה38[[#This Row],[סה"כ]]&gt;0,טבלה38[[#This Row],[סה"כ]],"")</f>
        <v/>
      </c>
      <c r="G81" s="656">
        <v>0.17</v>
      </c>
      <c r="H81" s="655">
        <f>טבלה38[[#This Row],[מחיר]]+טבלה38[[#This Row],[% מע"מ]]*טבלה38[[#This Row],[מחיר]]</f>
        <v>0</v>
      </c>
      <c r="I81" s="630">
        <f>טבלה38[[#This Row],[סה"כ]]*טבלה38[[#This Row],[מחיר ליח'' כולל ]]</f>
        <v>0</v>
      </c>
      <c r="J81" s="655">
        <f>SUM(טבלה38[[#This Row],[פימת קפה]:[תוספות]])</f>
        <v>0</v>
      </c>
      <c r="K81" s="655">
        <f>SUMIF(טבלה11517[מקט],טבלה38[[#This Row],[קוד מוצר]],טבלה11517[כמות])</f>
        <v>0</v>
      </c>
      <c r="L81" s="655">
        <f>SUMIF(טבלה115179[מקט],טבלה38[[#This Row],[קוד מוצר]],טבלה115179[כמות])</f>
        <v>0</v>
      </c>
      <c r="M81" s="655">
        <f>SUMIF(טבלה115[מקט],טבלה38[[#This Row],[קוד מוצר]],טבלה115[כמות])</f>
        <v>0</v>
      </c>
      <c r="N81" s="655">
        <f>SUMIF(טבלה1[מק"ט],טבלה38[[#This Row],[קוד מוצר]],טבלה1[כמות])</f>
        <v>0</v>
      </c>
      <c r="O81" s="655">
        <f>SUMIF(טבלה8[מק"ט],טבלה38[[#This Row],[קוד מוצר]],טבלה8[הזמנה])</f>
        <v>0</v>
      </c>
      <c r="P81" s="655">
        <f>SUMIF(טבלה15[מק"ט],טבלה38[[#This Row],[קוד מוצר]],טבלה15[הזמנה])</f>
        <v>0</v>
      </c>
      <c r="Q81" s="655">
        <f>SUMIF(טבלה1151718[מקט],טבלה38[[#This Row],[קוד מוצר]],טבלה1151718[כמות])</f>
        <v>0</v>
      </c>
      <c r="R81" s="655">
        <f>SUMIF(טבלה125[מקט],טבלה38[[#This Row],[קוד מוצר]],טבלה125[כמות])</f>
        <v>0</v>
      </c>
      <c r="S81" s="655">
        <f>SUMIF(טבלה33[מק"ט],טבלה38[[#This Row],[קוד מוצר]],טבלה33[הזמנה])</f>
        <v>0</v>
      </c>
      <c r="T81" s="655">
        <f>SUMIF(טבלה34[עמודה1],טבלה38[[#This Row],[קוד מוצר]],טבלה34[הזמנה])</f>
        <v>0</v>
      </c>
      <c r="U81" s="655">
        <f>SUMIF(טבלה35[עמודה1],טבלה38[[#This Row],[קוד מוצר]],טבלה35[הזמנה])</f>
        <v>0</v>
      </c>
      <c r="V81" s="655">
        <f>SUMIF(טבלה3338[מק"ט],טבלה38[[#This Row],[קוד מוצר]],טבלה3338[הזמנה])</f>
        <v>0</v>
      </c>
      <c r="W81" s="655">
        <f>SUMIF(טבלה3540[עמודה1],טבלה38[[#This Row],[קוד מוצר]],טבלה3540[הזמנה])</f>
        <v>0</v>
      </c>
      <c r="X81" s="655">
        <f>SUMIF(טבלה3441[עמודה1],טבלה38[[#This Row],[קוד מוצר]],טבלה3441[הזמנה])</f>
        <v>0</v>
      </c>
      <c r="Y81" s="655">
        <f>SUMIF(טבלה24[מקט],טבלה38[[#This Row],[קוד מוצר]],טבלה24[כמות])</f>
        <v>0</v>
      </c>
      <c r="Z81" s="655">
        <f>SUMIF(טבלה628[קוד מוצר],טבלה38[[#This Row],[קוד מוצר]],טבלה628[תוספת])</f>
        <v>0</v>
      </c>
      <c r="AA81" s="610">
        <f>טבלה38[[#This Row],[פימת קפה]]*טבלה38[[#This Row],[מחיר ליח'' כולל ]]</f>
        <v>0</v>
      </c>
      <c r="AB81" s="610">
        <f>טבלה38[[#This Row],[פת שחרית]]*טבלה38[[#This Row],[מחיר ליח'' כולל ]]</f>
        <v>0</v>
      </c>
      <c r="AC81" s="610">
        <f>טבלה38[[#This Row],[א. בוקר פריסה]]*טבלה38[[#This Row],[מחיר ליח'' כולל ]]</f>
        <v>0</v>
      </c>
      <c r="AD81" s="666">
        <f>טבלה38[[#This Row],[א. צהררים פריסה ]]*טבלה38[[#This Row],[מחיר ליח'' כולל ]]</f>
        <v>0</v>
      </c>
      <c r="AE81" s="666">
        <f>טבלה38[[#This Row],[בוקר קיטים]]*טבלה38[[#This Row],[מחיר ליח'' כולל ]]</f>
        <v>0</v>
      </c>
      <c r="AF81" s="666">
        <f>טבלה38[[#This Row],[צהריים קיטים]]*טבלה38[[#This Row],[מחיר ליח'' כולל ]]</f>
        <v>0</v>
      </c>
      <c r="AG81" s="666">
        <f>טבלה38[[#This Row],[פריסת אמצע]]*טבלה38[[#This Row],[מחיר ליח'' כולל ]]</f>
        <v>0</v>
      </c>
      <c r="AH81" s="666">
        <f>טבלה38[[#This Row],[מרק]]*טבלה38[[#This Row],[מחיר ליח'' כולל ]]</f>
        <v>0</v>
      </c>
      <c r="AI81" s="666">
        <f>טבלה38[[#This Row],[ערב בישול 1]]*טבלה38[[#This Row],[מחיר ליח'' כולל ]]</f>
        <v>0</v>
      </c>
      <c r="AJ81" s="666">
        <f>טבלה38[[#This Row],[ערב בישול 2]]*טבלה38[[#This Row],[מחיר ליח'' כולל ]]</f>
        <v>0</v>
      </c>
      <c r="AK81" s="666">
        <f>טבלה38[[#This Row],[ערב בישול 3]]*טבלה38[[#This Row],[מחיר ליח'' כולל ]]</f>
        <v>0</v>
      </c>
      <c r="AL81" s="666">
        <f>טבלה38[[#This Row],[ערב קטן 1]]*טבלה38[[#This Row],[מחיר ליח'' כולל ]]</f>
        <v>0</v>
      </c>
      <c r="AM81" s="666">
        <f>טבלה38[[#This Row],[ערב קטן 2]]*טבלה38[[#This Row],[מחיר ליח'' כולל ]]</f>
        <v>0</v>
      </c>
      <c r="AN81" s="666">
        <f>טבלה38[[#This Row],[ערב קטן 3]]*טבלה38[[#This Row],[מחיר ליח'' כולל ]]</f>
        <v>0</v>
      </c>
      <c r="AO81" s="666">
        <f>טבלה38[[#This Row],[קיטים מיוחדים]]*טבלה38[[#This Row],[מחיר ליח'' כולל ]]</f>
        <v>0</v>
      </c>
      <c r="AP81" s="666">
        <f>טבלה38[[#This Row],[תוספות]]*טבלה38[[#This Row],[מחיר ליח'' כולל ]]</f>
        <v>0</v>
      </c>
    </row>
    <row r="82" spans="2:42" ht="14.4">
      <c r="B82" s="651">
        <v>78</v>
      </c>
      <c r="C82" s="650" t="s">
        <v>932</v>
      </c>
      <c r="D82" s="650" t="s">
        <v>602</v>
      </c>
      <c r="E82" s="650"/>
      <c r="F82" s="649" t="str">
        <f>IF(טבלה38[[#This Row],[סה"כ]]&gt;0,טבלה38[[#This Row],[סה"כ]],"")</f>
        <v/>
      </c>
      <c r="G82" s="656">
        <v>0.17</v>
      </c>
      <c r="H82" s="655">
        <f>טבלה38[[#This Row],[מחיר]]+טבלה38[[#This Row],[% מע"מ]]*טבלה38[[#This Row],[מחיר]]</f>
        <v>0</v>
      </c>
      <c r="I82" s="630">
        <f>טבלה38[[#This Row],[סה"כ]]*טבלה38[[#This Row],[מחיר ליח'' כולל ]]</f>
        <v>0</v>
      </c>
      <c r="J82" s="655">
        <f>SUM(טבלה38[[#This Row],[פימת קפה]:[תוספות]])</f>
        <v>0</v>
      </c>
      <c r="K82" s="655">
        <f>SUMIF(טבלה11517[מקט],טבלה38[[#This Row],[קוד מוצר]],טבלה11517[כמות])</f>
        <v>0</v>
      </c>
      <c r="L82" s="655">
        <f>SUMIF(טבלה115179[מקט],טבלה38[[#This Row],[קוד מוצר]],טבלה115179[כמות])</f>
        <v>0</v>
      </c>
      <c r="M82" s="655">
        <f>SUMIF(טבלה115[מקט],טבלה38[[#This Row],[קוד מוצר]],טבלה115[כמות])</f>
        <v>0</v>
      </c>
      <c r="N82" s="655">
        <f>SUMIF(טבלה1[מק"ט],טבלה38[[#This Row],[קוד מוצר]],טבלה1[כמות])</f>
        <v>0</v>
      </c>
      <c r="O82" s="655">
        <f>SUMIF(טבלה8[מק"ט],טבלה38[[#This Row],[קוד מוצר]],טבלה8[הזמנה])</f>
        <v>0</v>
      </c>
      <c r="P82" s="655">
        <f>SUMIF(טבלה15[מק"ט],טבלה38[[#This Row],[קוד מוצר]],טבלה15[הזמנה])</f>
        <v>0</v>
      </c>
      <c r="Q82" s="655">
        <f>SUMIF(טבלה1151718[מקט],טבלה38[[#This Row],[קוד מוצר]],טבלה1151718[כמות])</f>
        <v>0</v>
      </c>
      <c r="R82" s="655">
        <f>SUMIF(טבלה125[מקט],טבלה38[[#This Row],[קוד מוצר]],טבלה125[כמות])</f>
        <v>0</v>
      </c>
      <c r="S82" s="655">
        <f>SUMIF(טבלה33[מק"ט],טבלה38[[#This Row],[קוד מוצר]],טבלה33[הזמנה])</f>
        <v>0</v>
      </c>
      <c r="T82" s="655">
        <f>SUMIF(טבלה34[עמודה1],טבלה38[[#This Row],[קוד מוצר]],טבלה34[הזמנה])</f>
        <v>0</v>
      </c>
      <c r="U82" s="655">
        <f>SUMIF(טבלה35[עמודה1],טבלה38[[#This Row],[קוד מוצר]],טבלה35[הזמנה])</f>
        <v>0</v>
      </c>
      <c r="V82" s="655">
        <f>SUMIF(טבלה3338[מק"ט],טבלה38[[#This Row],[קוד מוצר]],טבלה3338[הזמנה])</f>
        <v>0</v>
      </c>
      <c r="W82" s="655">
        <f>SUMIF(טבלה3540[עמודה1],טבלה38[[#This Row],[קוד מוצר]],טבלה3540[הזמנה])</f>
        <v>0</v>
      </c>
      <c r="X82" s="655">
        <f>SUMIF(טבלה3441[עמודה1],טבלה38[[#This Row],[קוד מוצר]],טבלה3441[הזמנה])</f>
        <v>0</v>
      </c>
      <c r="Y82" s="655">
        <f>SUMIF(טבלה24[מקט],טבלה38[[#This Row],[קוד מוצר]],טבלה24[כמות])</f>
        <v>0</v>
      </c>
      <c r="Z82" s="655">
        <f>SUMIF(טבלה628[קוד מוצר],טבלה38[[#This Row],[קוד מוצר]],טבלה628[תוספת])</f>
        <v>0</v>
      </c>
      <c r="AA82" s="610">
        <f>טבלה38[[#This Row],[פימת קפה]]*טבלה38[[#This Row],[מחיר ליח'' כולל ]]</f>
        <v>0</v>
      </c>
      <c r="AB82" s="610">
        <f>טבלה38[[#This Row],[פת שחרית]]*טבלה38[[#This Row],[מחיר ליח'' כולל ]]</f>
        <v>0</v>
      </c>
      <c r="AC82" s="610">
        <f>טבלה38[[#This Row],[א. בוקר פריסה]]*טבלה38[[#This Row],[מחיר ליח'' כולל ]]</f>
        <v>0</v>
      </c>
      <c r="AD82" s="666">
        <f>טבלה38[[#This Row],[א. צהררים פריסה ]]*טבלה38[[#This Row],[מחיר ליח'' כולל ]]</f>
        <v>0</v>
      </c>
      <c r="AE82" s="666">
        <f>טבלה38[[#This Row],[בוקר קיטים]]*טבלה38[[#This Row],[מחיר ליח'' כולל ]]</f>
        <v>0</v>
      </c>
      <c r="AF82" s="666">
        <f>טבלה38[[#This Row],[צהריים קיטים]]*טבלה38[[#This Row],[מחיר ליח'' כולל ]]</f>
        <v>0</v>
      </c>
      <c r="AG82" s="666">
        <f>טבלה38[[#This Row],[פריסת אמצע]]*טבלה38[[#This Row],[מחיר ליח'' כולל ]]</f>
        <v>0</v>
      </c>
      <c r="AH82" s="666">
        <f>טבלה38[[#This Row],[מרק]]*טבלה38[[#This Row],[מחיר ליח'' כולל ]]</f>
        <v>0</v>
      </c>
      <c r="AI82" s="666">
        <f>טבלה38[[#This Row],[ערב בישול 1]]*טבלה38[[#This Row],[מחיר ליח'' כולל ]]</f>
        <v>0</v>
      </c>
      <c r="AJ82" s="666">
        <f>טבלה38[[#This Row],[ערב בישול 2]]*טבלה38[[#This Row],[מחיר ליח'' כולל ]]</f>
        <v>0</v>
      </c>
      <c r="AK82" s="666">
        <f>טבלה38[[#This Row],[ערב בישול 3]]*טבלה38[[#This Row],[מחיר ליח'' כולל ]]</f>
        <v>0</v>
      </c>
      <c r="AL82" s="666">
        <f>טבלה38[[#This Row],[ערב קטן 1]]*טבלה38[[#This Row],[מחיר ליח'' כולל ]]</f>
        <v>0</v>
      </c>
      <c r="AM82" s="666">
        <f>טבלה38[[#This Row],[ערב קטן 2]]*טבלה38[[#This Row],[מחיר ליח'' כולל ]]</f>
        <v>0</v>
      </c>
      <c r="AN82" s="666">
        <f>טבלה38[[#This Row],[ערב קטן 3]]*טבלה38[[#This Row],[מחיר ליח'' כולל ]]</f>
        <v>0</v>
      </c>
      <c r="AO82" s="666">
        <f>טבלה38[[#This Row],[קיטים מיוחדים]]*טבלה38[[#This Row],[מחיר ליח'' כולל ]]</f>
        <v>0</v>
      </c>
      <c r="AP82" s="666">
        <f>טבלה38[[#This Row],[תוספות]]*טבלה38[[#This Row],[מחיר ליח'' כולל ]]</f>
        <v>0</v>
      </c>
    </row>
    <row r="83" spans="2:42" ht="14.4">
      <c r="B83" s="651">
        <v>81</v>
      </c>
      <c r="C83" s="650" t="s">
        <v>364</v>
      </c>
      <c r="D83" s="650" t="s">
        <v>8</v>
      </c>
      <c r="E83" s="650"/>
      <c r="F83" s="649" t="str">
        <f>IF(טבלה38[[#This Row],[סה"כ]]&gt;0,טבלה38[[#This Row],[סה"כ]],"")</f>
        <v/>
      </c>
      <c r="G83" s="656">
        <v>0</v>
      </c>
      <c r="H83" s="655">
        <f>טבלה38[[#This Row],[מחיר]]+טבלה38[[#This Row],[% מע"מ]]*טבלה38[[#This Row],[מחיר]]</f>
        <v>0</v>
      </c>
      <c r="I83" s="630">
        <f>טבלה38[[#This Row],[סה"כ]]*טבלה38[[#This Row],[מחיר ליח'' כולל ]]</f>
        <v>0</v>
      </c>
      <c r="J83" s="655">
        <f>SUM(טבלה38[[#This Row],[פימת קפה]:[תוספות]])</f>
        <v>0</v>
      </c>
      <c r="K83" s="655">
        <f>SUMIF(טבלה11517[מקט],טבלה38[[#This Row],[קוד מוצר]],טבלה11517[כמות])</f>
        <v>0</v>
      </c>
      <c r="L83" s="655">
        <f>SUMIF(טבלה115179[מקט],טבלה38[[#This Row],[קוד מוצר]],טבלה115179[כמות])</f>
        <v>0</v>
      </c>
      <c r="M83" s="655">
        <f>SUMIF(טבלה115[מקט],טבלה38[[#This Row],[קוד מוצר]],טבלה115[כמות])</f>
        <v>0</v>
      </c>
      <c r="N83" s="655">
        <f>SUMIF(טבלה1[מק"ט],טבלה38[[#This Row],[קוד מוצר]],טבלה1[כמות])</f>
        <v>0</v>
      </c>
      <c r="O83" s="655">
        <f>SUMIF(טבלה8[מק"ט],טבלה38[[#This Row],[קוד מוצר]],טבלה8[הזמנה])</f>
        <v>0</v>
      </c>
      <c r="P83" s="655">
        <f>SUMIF(טבלה15[מק"ט],טבלה38[[#This Row],[קוד מוצר]],טבלה15[הזמנה])</f>
        <v>0</v>
      </c>
      <c r="Q83" s="655">
        <f>SUMIF(טבלה1151718[מקט],טבלה38[[#This Row],[קוד מוצר]],טבלה1151718[כמות])</f>
        <v>0</v>
      </c>
      <c r="R83" s="655">
        <f>SUMIF(טבלה125[מקט],טבלה38[[#This Row],[קוד מוצר]],טבלה125[כמות])</f>
        <v>0</v>
      </c>
      <c r="S83" s="655">
        <f>SUMIF(טבלה33[מק"ט],טבלה38[[#This Row],[קוד מוצר]],טבלה33[הזמנה])</f>
        <v>0</v>
      </c>
      <c r="T83" s="655">
        <f>SUMIF(טבלה34[עמודה1],טבלה38[[#This Row],[קוד מוצר]],טבלה34[הזמנה])</f>
        <v>0</v>
      </c>
      <c r="U83" s="655">
        <f>SUMIF(טבלה35[עמודה1],טבלה38[[#This Row],[קוד מוצר]],טבלה35[הזמנה])</f>
        <v>0</v>
      </c>
      <c r="V83" s="655">
        <f>SUMIF(טבלה3338[מק"ט],טבלה38[[#This Row],[קוד מוצר]],טבלה3338[הזמנה])</f>
        <v>0</v>
      </c>
      <c r="W83" s="655">
        <f>SUMIF(טבלה3540[עמודה1],טבלה38[[#This Row],[קוד מוצר]],טבלה3540[הזמנה])</f>
        <v>0</v>
      </c>
      <c r="X83" s="655">
        <f>SUMIF(טבלה3441[עמודה1],טבלה38[[#This Row],[קוד מוצר]],טבלה3441[הזמנה])</f>
        <v>0</v>
      </c>
      <c r="Y83" s="655">
        <f>SUMIF(טבלה24[מקט],טבלה38[[#This Row],[קוד מוצר]],טבלה24[כמות])</f>
        <v>0</v>
      </c>
      <c r="Z83" s="655">
        <f>SUMIF(טבלה628[קוד מוצר],טבלה38[[#This Row],[קוד מוצר]],טבלה628[תוספת])</f>
        <v>0</v>
      </c>
      <c r="AA83" s="610">
        <f>טבלה38[[#This Row],[פימת קפה]]*טבלה38[[#This Row],[מחיר ליח'' כולל ]]</f>
        <v>0</v>
      </c>
      <c r="AB83" s="610">
        <f>טבלה38[[#This Row],[פת שחרית]]*טבלה38[[#This Row],[מחיר ליח'' כולל ]]</f>
        <v>0</v>
      </c>
      <c r="AC83" s="610">
        <f>טבלה38[[#This Row],[א. בוקר פריסה]]*טבלה38[[#This Row],[מחיר ליח'' כולל ]]</f>
        <v>0</v>
      </c>
      <c r="AD83" s="666">
        <f>טבלה38[[#This Row],[א. צהררים פריסה ]]*טבלה38[[#This Row],[מחיר ליח'' כולל ]]</f>
        <v>0</v>
      </c>
      <c r="AE83" s="666">
        <f>טבלה38[[#This Row],[בוקר קיטים]]*טבלה38[[#This Row],[מחיר ליח'' כולל ]]</f>
        <v>0</v>
      </c>
      <c r="AF83" s="666">
        <f>טבלה38[[#This Row],[צהריים קיטים]]*טבלה38[[#This Row],[מחיר ליח'' כולל ]]</f>
        <v>0</v>
      </c>
      <c r="AG83" s="666">
        <f>טבלה38[[#This Row],[פריסת אמצע]]*טבלה38[[#This Row],[מחיר ליח'' כולל ]]</f>
        <v>0</v>
      </c>
      <c r="AH83" s="666">
        <f>טבלה38[[#This Row],[מרק]]*טבלה38[[#This Row],[מחיר ליח'' כולל ]]</f>
        <v>0</v>
      </c>
      <c r="AI83" s="666">
        <f>טבלה38[[#This Row],[ערב בישול 1]]*טבלה38[[#This Row],[מחיר ליח'' כולל ]]</f>
        <v>0</v>
      </c>
      <c r="AJ83" s="666">
        <f>טבלה38[[#This Row],[ערב בישול 2]]*טבלה38[[#This Row],[מחיר ליח'' כולל ]]</f>
        <v>0</v>
      </c>
      <c r="AK83" s="666">
        <f>טבלה38[[#This Row],[ערב בישול 3]]*טבלה38[[#This Row],[מחיר ליח'' כולל ]]</f>
        <v>0</v>
      </c>
      <c r="AL83" s="666">
        <f>טבלה38[[#This Row],[ערב קטן 1]]*טבלה38[[#This Row],[מחיר ליח'' כולל ]]</f>
        <v>0</v>
      </c>
      <c r="AM83" s="666">
        <f>טבלה38[[#This Row],[ערב קטן 2]]*טבלה38[[#This Row],[מחיר ליח'' כולל ]]</f>
        <v>0</v>
      </c>
      <c r="AN83" s="666">
        <f>טבלה38[[#This Row],[ערב קטן 3]]*טבלה38[[#This Row],[מחיר ליח'' כולל ]]</f>
        <v>0</v>
      </c>
      <c r="AO83" s="666">
        <f>טבלה38[[#This Row],[קיטים מיוחדים]]*טבלה38[[#This Row],[מחיר ליח'' כולל ]]</f>
        <v>0</v>
      </c>
      <c r="AP83" s="666">
        <f>טבלה38[[#This Row],[תוספות]]*טבלה38[[#This Row],[מחיר ליח'' כולל ]]</f>
        <v>0</v>
      </c>
    </row>
    <row r="84" spans="2:42" ht="14.4">
      <c r="B84" s="651">
        <v>143</v>
      </c>
      <c r="C84" s="650" t="s">
        <v>367</v>
      </c>
      <c r="D84" s="650" t="s">
        <v>8</v>
      </c>
      <c r="E84" s="650"/>
      <c r="F84" s="649" t="str">
        <f>IF(טבלה38[[#This Row],[סה"כ]]&gt;0,טבלה38[[#This Row],[סה"כ]],"")</f>
        <v/>
      </c>
      <c r="G84" s="656">
        <v>0</v>
      </c>
      <c r="H84" s="655">
        <f>טבלה38[[#This Row],[מחיר]]+טבלה38[[#This Row],[% מע"מ]]*טבלה38[[#This Row],[מחיר]]</f>
        <v>0</v>
      </c>
      <c r="I84" s="630">
        <f>טבלה38[[#This Row],[סה"כ]]*טבלה38[[#This Row],[מחיר ליח'' כולל ]]</f>
        <v>0</v>
      </c>
      <c r="J84" s="655">
        <f>SUM(טבלה38[[#This Row],[פימת קפה]:[תוספות]])</f>
        <v>0</v>
      </c>
      <c r="K84" s="655">
        <f>SUMIF(טבלה11517[מקט],טבלה38[[#This Row],[קוד מוצר]],טבלה11517[כמות])</f>
        <v>0</v>
      </c>
      <c r="L84" s="655">
        <f>SUMIF(טבלה115179[מקט],טבלה38[[#This Row],[קוד מוצר]],טבלה115179[כמות])</f>
        <v>0</v>
      </c>
      <c r="M84" s="655">
        <f>SUMIF(טבלה115[מקט],טבלה38[[#This Row],[קוד מוצר]],טבלה115[כמות])</f>
        <v>0</v>
      </c>
      <c r="N84" s="655">
        <f>SUMIF(טבלה1[מק"ט],טבלה38[[#This Row],[קוד מוצר]],טבלה1[כמות])</f>
        <v>0</v>
      </c>
      <c r="O84" s="655">
        <f>SUMIF(טבלה8[מק"ט],טבלה38[[#This Row],[קוד מוצר]],טבלה8[הזמנה])</f>
        <v>0</v>
      </c>
      <c r="P84" s="655">
        <f>SUMIF(טבלה15[מק"ט],טבלה38[[#This Row],[קוד מוצר]],טבלה15[הזמנה])</f>
        <v>0</v>
      </c>
      <c r="Q84" s="655">
        <f>SUMIF(טבלה1151718[מקט],טבלה38[[#This Row],[קוד מוצר]],טבלה1151718[כמות])</f>
        <v>0</v>
      </c>
      <c r="R84" s="655">
        <f>SUMIF(טבלה125[מקט],טבלה38[[#This Row],[קוד מוצר]],טבלה125[כמות])</f>
        <v>0</v>
      </c>
      <c r="S84" s="655">
        <f>SUMIF(טבלה33[מק"ט],טבלה38[[#This Row],[קוד מוצר]],טבלה33[הזמנה])</f>
        <v>0</v>
      </c>
      <c r="T84" s="655">
        <f>SUMIF(טבלה34[עמודה1],טבלה38[[#This Row],[קוד מוצר]],טבלה34[הזמנה])</f>
        <v>0</v>
      </c>
      <c r="U84" s="655">
        <f>SUMIF(טבלה35[עמודה1],טבלה38[[#This Row],[קוד מוצר]],טבלה35[הזמנה])</f>
        <v>0</v>
      </c>
      <c r="V84" s="655">
        <f>SUMIF(טבלה3338[מק"ט],טבלה38[[#This Row],[קוד מוצר]],טבלה3338[הזמנה])</f>
        <v>0</v>
      </c>
      <c r="W84" s="655">
        <f>SUMIF(טבלה3540[עמודה1],טבלה38[[#This Row],[קוד מוצר]],טבלה3540[הזמנה])</f>
        <v>0</v>
      </c>
      <c r="X84" s="655">
        <f>SUMIF(טבלה3441[עמודה1],טבלה38[[#This Row],[קוד מוצר]],טבלה3441[הזמנה])</f>
        <v>0</v>
      </c>
      <c r="Y84" s="655">
        <f>SUMIF(טבלה24[מקט],טבלה38[[#This Row],[קוד מוצר]],טבלה24[כמות])</f>
        <v>0</v>
      </c>
      <c r="Z84" s="655">
        <f>SUMIF(טבלה628[קוד מוצר],טבלה38[[#This Row],[קוד מוצר]],טבלה628[תוספת])</f>
        <v>0</v>
      </c>
      <c r="AA84" s="610">
        <f>טבלה38[[#This Row],[פימת קפה]]*טבלה38[[#This Row],[מחיר ליח'' כולל ]]</f>
        <v>0</v>
      </c>
      <c r="AB84" s="610">
        <f>טבלה38[[#This Row],[פת שחרית]]*טבלה38[[#This Row],[מחיר ליח'' כולל ]]</f>
        <v>0</v>
      </c>
      <c r="AC84" s="610">
        <f>טבלה38[[#This Row],[א. בוקר פריסה]]*טבלה38[[#This Row],[מחיר ליח'' כולל ]]</f>
        <v>0</v>
      </c>
      <c r="AD84" s="666">
        <f>טבלה38[[#This Row],[א. צהררים פריסה ]]*טבלה38[[#This Row],[מחיר ליח'' כולל ]]</f>
        <v>0</v>
      </c>
      <c r="AE84" s="666">
        <f>טבלה38[[#This Row],[בוקר קיטים]]*טבלה38[[#This Row],[מחיר ליח'' כולל ]]</f>
        <v>0</v>
      </c>
      <c r="AF84" s="666">
        <f>טבלה38[[#This Row],[צהריים קיטים]]*טבלה38[[#This Row],[מחיר ליח'' כולל ]]</f>
        <v>0</v>
      </c>
      <c r="AG84" s="666">
        <f>טבלה38[[#This Row],[פריסת אמצע]]*טבלה38[[#This Row],[מחיר ליח'' כולל ]]</f>
        <v>0</v>
      </c>
      <c r="AH84" s="666">
        <f>טבלה38[[#This Row],[מרק]]*טבלה38[[#This Row],[מחיר ליח'' כולל ]]</f>
        <v>0</v>
      </c>
      <c r="AI84" s="666">
        <f>טבלה38[[#This Row],[ערב בישול 1]]*טבלה38[[#This Row],[מחיר ליח'' כולל ]]</f>
        <v>0</v>
      </c>
      <c r="AJ84" s="666">
        <f>טבלה38[[#This Row],[ערב בישול 2]]*טבלה38[[#This Row],[מחיר ליח'' כולל ]]</f>
        <v>0</v>
      </c>
      <c r="AK84" s="666">
        <f>טבלה38[[#This Row],[ערב בישול 3]]*טבלה38[[#This Row],[מחיר ליח'' כולל ]]</f>
        <v>0</v>
      </c>
      <c r="AL84" s="666">
        <f>טבלה38[[#This Row],[ערב קטן 1]]*טבלה38[[#This Row],[מחיר ליח'' כולל ]]</f>
        <v>0</v>
      </c>
      <c r="AM84" s="666">
        <f>טבלה38[[#This Row],[ערב קטן 2]]*טבלה38[[#This Row],[מחיר ליח'' כולל ]]</f>
        <v>0</v>
      </c>
      <c r="AN84" s="666">
        <f>טבלה38[[#This Row],[ערב קטן 3]]*טבלה38[[#This Row],[מחיר ליח'' כולל ]]</f>
        <v>0</v>
      </c>
      <c r="AO84" s="666">
        <f>טבלה38[[#This Row],[קיטים מיוחדים]]*טבלה38[[#This Row],[מחיר ליח'' כולל ]]</f>
        <v>0</v>
      </c>
      <c r="AP84" s="666">
        <f>טבלה38[[#This Row],[תוספות]]*טבלה38[[#This Row],[מחיר ליח'' כולל ]]</f>
        <v>0</v>
      </c>
    </row>
    <row r="85" spans="2:42" ht="14.4">
      <c r="B85" s="651">
        <v>156</v>
      </c>
      <c r="C85" s="650" t="s">
        <v>368</v>
      </c>
      <c r="D85" s="650" t="s">
        <v>8</v>
      </c>
      <c r="E85" s="650"/>
      <c r="F85" s="649" t="str">
        <f>IF(טבלה38[[#This Row],[סה"כ]]&gt;0,טבלה38[[#This Row],[סה"כ]],"")</f>
        <v/>
      </c>
      <c r="G85" s="656">
        <v>0</v>
      </c>
      <c r="H85" s="655">
        <f>טבלה38[[#This Row],[מחיר]]+טבלה38[[#This Row],[% מע"מ]]*טבלה38[[#This Row],[מחיר]]</f>
        <v>0</v>
      </c>
      <c r="I85" s="630">
        <f>טבלה38[[#This Row],[סה"כ]]*טבלה38[[#This Row],[מחיר ליח'' כולל ]]</f>
        <v>0</v>
      </c>
      <c r="J85" s="655">
        <f>SUM(טבלה38[[#This Row],[פימת קפה]:[תוספות]])</f>
        <v>0</v>
      </c>
      <c r="K85" s="655">
        <f>SUMIF(טבלה11517[מקט],טבלה38[[#This Row],[קוד מוצר]],טבלה11517[כמות])</f>
        <v>0</v>
      </c>
      <c r="L85" s="655">
        <f>SUMIF(טבלה115179[מקט],טבלה38[[#This Row],[קוד מוצר]],טבלה115179[כמות])</f>
        <v>0</v>
      </c>
      <c r="M85" s="655">
        <f>SUMIF(טבלה115[מקט],טבלה38[[#This Row],[קוד מוצר]],טבלה115[כמות])</f>
        <v>0</v>
      </c>
      <c r="N85" s="655">
        <f>SUMIF(טבלה1[מק"ט],טבלה38[[#This Row],[קוד מוצר]],טבלה1[כמות])</f>
        <v>0</v>
      </c>
      <c r="O85" s="655">
        <f>SUMIF(טבלה8[מק"ט],טבלה38[[#This Row],[קוד מוצר]],טבלה8[הזמנה])</f>
        <v>0</v>
      </c>
      <c r="P85" s="655">
        <f>SUMIF(טבלה15[מק"ט],טבלה38[[#This Row],[קוד מוצר]],טבלה15[הזמנה])</f>
        <v>0</v>
      </c>
      <c r="Q85" s="655">
        <f>SUMIF(טבלה1151718[מקט],טבלה38[[#This Row],[קוד מוצר]],טבלה1151718[כמות])</f>
        <v>0</v>
      </c>
      <c r="R85" s="655">
        <f>SUMIF(טבלה125[מקט],טבלה38[[#This Row],[קוד מוצר]],טבלה125[כמות])</f>
        <v>0</v>
      </c>
      <c r="S85" s="655">
        <f>SUMIF(טבלה33[מק"ט],טבלה38[[#This Row],[קוד מוצר]],טבלה33[הזמנה])</f>
        <v>0</v>
      </c>
      <c r="T85" s="655">
        <f>SUMIF(טבלה34[עמודה1],טבלה38[[#This Row],[קוד מוצר]],טבלה34[הזמנה])</f>
        <v>0</v>
      </c>
      <c r="U85" s="655">
        <f>SUMIF(טבלה35[עמודה1],טבלה38[[#This Row],[קוד מוצר]],טבלה35[הזמנה])</f>
        <v>0</v>
      </c>
      <c r="V85" s="655">
        <f>SUMIF(טבלה3338[מק"ט],טבלה38[[#This Row],[קוד מוצר]],טבלה3338[הזמנה])</f>
        <v>0</v>
      </c>
      <c r="W85" s="655">
        <f>SUMIF(טבלה3540[עמודה1],טבלה38[[#This Row],[קוד מוצר]],טבלה3540[הזמנה])</f>
        <v>0</v>
      </c>
      <c r="X85" s="655">
        <f>SUMIF(טבלה3441[עמודה1],טבלה38[[#This Row],[קוד מוצר]],טבלה3441[הזמנה])</f>
        <v>0</v>
      </c>
      <c r="Y85" s="655">
        <f>SUMIF(טבלה24[מקט],טבלה38[[#This Row],[קוד מוצר]],טבלה24[כמות])</f>
        <v>0</v>
      </c>
      <c r="Z85" s="655">
        <f>SUMIF(טבלה628[קוד מוצר],טבלה38[[#This Row],[קוד מוצר]],טבלה628[תוספת])</f>
        <v>0</v>
      </c>
      <c r="AA85" s="610">
        <f>טבלה38[[#This Row],[פימת קפה]]*טבלה38[[#This Row],[מחיר ליח'' כולל ]]</f>
        <v>0</v>
      </c>
      <c r="AB85" s="610">
        <f>טבלה38[[#This Row],[פת שחרית]]*טבלה38[[#This Row],[מחיר ליח'' כולל ]]</f>
        <v>0</v>
      </c>
      <c r="AC85" s="610">
        <f>טבלה38[[#This Row],[א. בוקר פריסה]]*טבלה38[[#This Row],[מחיר ליח'' כולל ]]</f>
        <v>0</v>
      </c>
      <c r="AD85" s="666">
        <f>טבלה38[[#This Row],[א. צהררים פריסה ]]*טבלה38[[#This Row],[מחיר ליח'' כולל ]]</f>
        <v>0</v>
      </c>
      <c r="AE85" s="666">
        <f>טבלה38[[#This Row],[בוקר קיטים]]*טבלה38[[#This Row],[מחיר ליח'' כולל ]]</f>
        <v>0</v>
      </c>
      <c r="AF85" s="666">
        <f>טבלה38[[#This Row],[צהריים קיטים]]*טבלה38[[#This Row],[מחיר ליח'' כולל ]]</f>
        <v>0</v>
      </c>
      <c r="AG85" s="666">
        <f>טבלה38[[#This Row],[פריסת אמצע]]*טבלה38[[#This Row],[מחיר ליח'' כולל ]]</f>
        <v>0</v>
      </c>
      <c r="AH85" s="666">
        <f>טבלה38[[#This Row],[מרק]]*טבלה38[[#This Row],[מחיר ליח'' כולל ]]</f>
        <v>0</v>
      </c>
      <c r="AI85" s="666">
        <f>טבלה38[[#This Row],[ערב בישול 1]]*טבלה38[[#This Row],[מחיר ליח'' כולל ]]</f>
        <v>0</v>
      </c>
      <c r="AJ85" s="666">
        <f>טבלה38[[#This Row],[ערב בישול 2]]*טבלה38[[#This Row],[מחיר ליח'' כולל ]]</f>
        <v>0</v>
      </c>
      <c r="AK85" s="666">
        <f>טבלה38[[#This Row],[ערב בישול 3]]*טבלה38[[#This Row],[מחיר ליח'' כולל ]]</f>
        <v>0</v>
      </c>
      <c r="AL85" s="666">
        <f>טבלה38[[#This Row],[ערב קטן 1]]*טבלה38[[#This Row],[מחיר ליח'' כולל ]]</f>
        <v>0</v>
      </c>
      <c r="AM85" s="666">
        <f>טבלה38[[#This Row],[ערב קטן 2]]*טבלה38[[#This Row],[מחיר ליח'' כולל ]]</f>
        <v>0</v>
      </c>
      <c r="AN85" s="666">
        <f>טבלה38[[#This Row],[ערב קטן 3]]*טבלה38[[#This Row],[מחיר ליח'' כולל ]]</f>
        <v>0</v>
      </c>
      <c r="AO85" s="666">
        <f>טבלה38[[#This Row],[קיטים מיוחדים]]*טבלה38[[#This Row],[מחיר ליח'' כולל ]]</f>
        <v>0</v>
      </c>
      <c r="AP85" s="666">
        <f>טבלה38[[#This Row],[תוספות]]*טבלה38[[#This Row],[מחיר ליח'' כולל ]]</f>
        <v>0</v>
      </c>
    </row>
    <row r="86" spans="2:42" ht="14.4">
      <c r="B86" s="651">
        <v>159</v>
      </c>
      <c r="C86" s="650" t="s">
        <v>370</v>
      </c>
      <c r="D86" s="650" t="s">
        <v>8</v>
      </c>
      <c r="E86" s="650"/>
      <c r="F86" s="649" t="str">
        <f>IF(טבלה38[[#This Row],[סה"כ]]&gt;0,טבלה38[[#This Row],[סה"כ]],"")</f>
        <v/>
      </c>
      <c r="G86" s="656">
        <v>0</v>
      </c>
      <c r="H86" s="655">
        <f>טבלה38[[#This Row],[מחיר]]+טבלה38[[#This Row],[% מע"מ]]*טבלה38[[#This Row],[מחיר]]</f>
        <v>0</v>
      </c>
      <c r="I86" s="630">
        <f>טבלה38[[#This Row],[סה"כ]]*טבלה38[[#This Row],[מחיר ליח'' כולל ]]</f>
        <v>0</v>
      </c>
      <c r="J86" s="655">
        <f>SUM(טבלה38[[#This Row],[פימת קפה]:[תוספות]])</f>
        <v>0</v>
      </c>
      <c r="K86" s="655">
        <f>SUMIF(טבלה11517[מקט],טבלה38[[#This Row],[קוד מוצר]],טבלה11517[כמות])</f>
        <v>0</v>
      </c>
      <c r="L86" s="655">
        <f>SUMIF(טבלה115179[מקט],טבלה38[[#This Row],[קוד מוצר]],טבלה115179[כמות])</f>
        <v>0</v>
      </c>
      <c r="M86" s="655">
        <f>SUMIF(טבלה115[מקט],טבלה38[[#This Row],[קוד מוצר]],טבלה115[כמות])</f>
        <v>0</v>
      </c>
      <c r="N86" s="655">
        <f>SUMIF(טבלה1[מק"ט],טבלה38[[#This Row],[קוד מוצר]],טבלה1[כמות])</f>
        <v>0</v>
      </c>
      <c r="O86" s="655">
        <f>SUMIF(טבלה8[מק"ט],טבלה38[[#This Row],[קוד מוצר]],טבלה8[הזמנה])</f>
        <v>0</v>
      </c>
      <c r="P86" s="655">
        <f>SUMIF(טבלה15[מק"ט],טבלה38[[#This Row],[קוד מוצר]],טבלה15[הזמנה])</f>
        <v>0</v>
      </c>
      <c r="Q86" s="655">
        <f>SUMIF(טבלה1151718[מקט],טבלה38[[#This Row],[קוד מוצר]],טבלה1151718[כמות])</f>
        <v>0</v>
      </c>
      <c r="R86" s="655">
        <f>SUMIF(טבלה125[מקט],טבלה38[[#This Row],[קוד מוצר]],טבלה125[כמות])</f>
        <v>0</v>
      </c>
      <c r="S86" s="655">
        <f>SUMIF(טבלה33[מק"ט],טבלה38[[#This Row],[קוד מוצר]],טבלה33[הזמנה])</f>
        <v>0</v>
      </c>
      <c r="T86" s="655">
        <f>SUMIF(טבלה34[עמודה1],טבלה38[[#This Row],[קוד מוצר]],טבלה34[הזמנה])</f>
        <v>0</v>
      </c>
      <c r="U86" s="655">
        <f>SUMIF(טבלה35[עמודה1],טבלה38[[#This Row],[קוד מוצר]],טבלה35[הזמנה])</f>
        <v>0</v>
      </c>
      <c r="V86" s="655">
        <f>SUMIF(טבלה3338[מק"ט],טבלה38[[#This Row],[קוד מוצר]],טבלה3338[הזמנה])</f>
        <v>0</v>
      </c>
      <c r="W86" s="655">
        <f>SUMIF(טבלה3540[עמודה1],טבלה38[[#This Row],[קוד מוצר]],טבלה3540[הזמנה])</f>
        <v>0</v>
      </c>
      <c r="X86" s="655">
        <f>SUMIF(טבלה3441[עמודה1],טבלה38[[#This Row],[קוד מוצר]],טבלה3441[הזמנה])</f>
        <v>0</v>
      </c>
      <c r="Y86" s="655">
        <f>SUMIF(טבלה24[מקט],טבלה38[[#This Row],[קוד מוצר]],טבלה24[כמות])</f>
        <v>0</v>
      </c>
      <c r="Z86" s="655">
        <f>SUMIF(טבלה628[קוד מוצר],טבלה38[[#This Row],[קוד מוצר]],טבלה628[תוספת])</f>
        <v>0</v>
      </c>
      <c r="AA86" s="610">
        <f>טבלה38[[#This Row],[פימת קפה]]*טבלה38[[#This Row],[מחיר ליח'' כולל ]]</f>
        <v>0</v>
      </c>
      <c r="AB86" s="610">
        <f>טבלה38[[#This Row],[פת שחרית]]*טבלה38[[#This Row],[מחיר ליח'' כולל ]]</f>
        <v>0</v>
      </c>
      <c r="AC86" s="610">
        <f>טבלה38[[#This Row],[א. בוקר פריסה]]*טבלה38[[#This Row],[מחיר ליח'' כולל ]]</f>
        <v>0</v>
      </c>
      <c r="AD86" s="666">
        <f>טבלה38[[#This Row],[א. צהררים פריסה ]]*טבלה38[[#This Row],[מחיר ליח'' כולל ]]</f>
        <v>0</v>
      </c>
      <c r="AE86" s="666">
        <f>טבלה38[[#This Row],[בוקר קיטים]]*טבלה38[[#This Row],[מחיר ליח'' כולל ]]</f>
        <v>0</v>
      </c>
      <c r="AF86" s="666">
        <f>טבלה38[[#This Row],[צהריים קיטים]]*טבלה38[[#This Row],[מחיר ליח'' כולל ]]</f>
        <v>0</v>
      </c>
      <c r="AG86" s="666">
        <f>טבלה38[[#This Row],[פריסת אמצע]]*טבלה38[[#This Row],[מחיר ליח'' כולל ]]</f>
        <v>0</v>
      </c>
      <c r="AH86" s="666">
        <f>טבלה38[[#This Row],[מרק]]*טבלה38[[#This Row],[מחיר ליח'' כולל ]]</f>
        <v>0</v>
      </c>
      <c r="AI86" s="666">
        <f>טבלה38[[#This Row],[ערב בישול 1]]*טבלה38[[#This Row],[מחיר ליח'' כולל ]]</f>
        <v>0</v>
      </c>
      <c r="AJ86" s="666">
        <f>טבלה38[[#This Row],[ערב בישול 2]]*טבלה38[[#This Row],[מחיר ליח'' כולל ]]</f>
        <v>0</v>
      </c>
      <c r="AK86" s="666">
        <f>טבלה38[[#This Row],[ערב בישול 3]]*טבלה38[[#This Row],[מחיר ליח'' כולל ]]</f>
        <v>0</v>
      </c>
      <c r="AL86" s="666">
        <f>טבלה38[[#This Row],[ערב קטן 1]]*טבלה38[[#This Row],[מחיר ליח'' כולל ]]</f>
        <v>0</v>
      </c>
      <c r="AM86" s="666">
        <f>טבלה38[[#This Row],[ערב קטן 2]]*טבלה38[[#This Row],[מחיר ליח'' כולל ]]</f>
        <v>0</v>
      </c>
      <c r="AN86" s="666">
        <f>טבלה38[[#This Row],[ערב קטן 3]]*טבלה38[[#This Row],[מחיר ליח'' כולל ]]</f>
        <v>0</v>
      </c>
      <c r="AO86" s="666">
        <f>טבלה38[[#This Row],[קיטים מיוחדים]]*טבלה38[[#This Row],[מחיר ליח'' כולל ]]</f>
        <v>0</v>
      </c>
      <c r="AP86" s="666">
        <f>טבלה38[[#This Row],[תוספות]]*טבלה38[[#This Row],[מחיר ליח'' כולל ]]</f>
        <v>0</v>
      </c>
    </row>
    <row r="87" spans="2:42" ht="14.4">
      <c r="B87" s="651">
        <v>235</v>
      </c>
      <c r="C87" s="650" t="s">
        <v>562</v>
      </c>
      <c r="D87" s="650" t="s">
        <v>8</v>
      </c>
      <c r="E87" s="650"/>
      <c r="F87" s="649" t="str">
        <f>IF(טבלה38[[#This Row],[סה"כ]]&gt;0,טבלה38[[#This Row],[סה"כ]],"")</f>
        <v/>
      </c>
      <c r="G87" s="656">
        <v>0</v>
      </c>
      <c r="H87" s="655">
        <f>טבלה38[[#This Row],[מחיר]]+טבלה38[[#This Row],[% מע"מ]]*טבלה38[[#This Row],[מחיר]]</f>
        <v>0</v>
      </c>
      <c r="I87" s="630">
        <f>טבלה38[[#This Row],[סה"כ]]*טבלה38[[#This Row],[מחיר ליח'' כולל ]]</f>
        <v>0</v>
      </c>
      <c r="J87" s="655">
        <f>SUM(טבלה38[[#This Row],[פימת קפה]:[תוספות]])</f>
        <v>0</v>
      </c>
      <c r="K87" s="655">
        <f>SUMIF(טבלה11517[מקט],טבלה38[[#This Row],[קוד מוצר]],טבלה11517[כמות])</f>
        <v>0</v>
      </c>
      <c r="L87" s="655">
        <f>SUMIF(טבלה115179[מקט],טבלה38[[#This Row],[קוד מוצר]],טבלה115179[כמות])</f>
        <v>0</v>
      </c>
      <c r="M87" s="655">
        <f>SUMIF(טבלה115[מקט],טבלה38[[#This Row],[קוד מוצר]],טבלה115[כמות])</f>
        <v>0</v>
      </c>
      <c r="N87" s="655">
        <f>SUMIF(טבלה1[מק"ט],טבלה38[[#This Row],[קוד מוצר]],טבלה1[כמות])</f>
        <v>0</v>
      </c>
      <c r="O87" s="655">
        <f>SUMIF(טבלה8[מק"ט],טבלה38[[#This Row],[קוד מוצר]],טבלה8[הזמנה])</f>
        <v>0</v>
      </c>
      <c r="P87" s="655">
        <f>SUMIF(טבלה15[מק"ט],טבלה38[[#This Row],[קוד מוצר]],טבלה15[הזמנה])</f>
        <v>0</v>
      </c>
      <c r="Q87" s="655">
        <f>SUMIF(טבלה1151718[מקט],טבלה38[[#This Row],[קוד מוצר]],טבלה1151718[כמות])</f>
        <v>0</v>
      </c>
      <c r="R87" s="655">
        <f>SUMIF(טבלה125[מקט],טבלה38[[#This Row],[קוד מוצר]],טבלה125[כמות])</f>
        <v>0</v>
      </c>
      <c r="S87" s="655">
        <f>SUMIF(טבלה33[מק"ט],טבלה38[[#This Row],[קוד מוצר]],טבלה33[הזמנה])</f>
        <v>0</v>
      </c>
      <c r="T87" s="655">
        <f>SUMIF(טבלה34[עמודה1],טבלה38[[#This Row],[קוד מוצר]],טבלה34[הזמנה])</f>
        <v>0</v>
      </c>
      <c r="U87" s="655">
        <f>SUMIF(טבלה35[עמודה1],טבלה38[[#This Row],[קוד מוצר]],טבלה35[הזמנה])</f>
        <v>0</v>
      </c>
      <c r="V87" s="655">
        <f>SUMIF(טבלה3338[מק"ט],טבלה38[[#This Row],[קוד מוצר]],טבלה3338[הזמנה])</f>
        <v>0</v>
      </c>
      <c r="W87" s="655">
        <f>SUMIF(טבלה3540[עמודה1],טבלה38[[#This Row],[קוד מוצר]],טבלה3540[הזמנה])</f>
        <v>0</v>
      </c>
      <c r="X87" s="655">
        <f>SUMIF(טבלה3441[עמודה1],טבלה38[[#This Row],[קוד מוצר]],טבלה3441[הזמנה])</f>
        <v>0</v>
      </c>
      <c r="Y87" s="655">
        <f>SUMIF(טבלה24[מקט],טבלה38[[#This Row],[קוד מוצר]],טבלה24[כמות])</f>
        <v>0</v>
      </c>
      <c r="Z87" s="655">
        <f>SUMIF(טבלה628[קוד מוצר],טבלה38[[#This Row],[קוד מוצר]],טבלה628[תוספת])</f>
        <v>0</v>
      </c>
      <c r="AA87" s="610">
        <f>טבלה38[[#This Row],[פימת קפה]]*טבלה38[[#This Row],[מחיר ליח'' כולל ]]</f>
        <v>0</v>
      </c>
      <c r="AB87" s="610">
        <f>טבלה38[[#This Row],[פת שחרית]]*טבלה38[[#This Row],[מחיר ליח'' כולל ]]</f>
        <v>0</v>
      </c>
      <c r="AC87" s="610">
        <f>טבלה38[[#This Row],[א. בוקר פריסה]]*טבלה38[[#This Row],[מחיר ליח'' כולל ]]</f>
        <v>0</v>
      </c>
      <c r="AD87" s="666">
        <f>טבלה38[[#This Row],[א. צהררים פריסה ]]*טבלה38[[#This Row],[מחיר ליח'' כולל ]]</f>
        <v>0</v>
      </c>
      <c r="AE87" s="666">
        <f>טבלה38[[#This Row],[בוקר קיטים]]*טבלה38[[#This Row],[מחיר ליח'' כולל ]]</f>
        <v>0</v>
      </c>
      <c r="AF87" s="666">
        <f>טבלה38[[#This Row],[צהריים קיטים]]*טבלה38[[#This Row],[מחיר ליח'' כולל ]]</f>
        <v>0</v>
      </c>
      <c r="AG87" s="666">
        <f>טבלה38[[#This Row],[פריסת אמצע]]*טבלה38[[#This Row],[מחיר ליח'' כולל ]]</f>
        <v>0</v>
      </c>
      <c r="AH87" s="666">
        <f>טבלה38[[#This Row],[מרק]]*טבלה38[[#This Row],[מחיר ליח'' כולל ]]</f>
        <v>0</v>
      </c>
      <c r="AI87" s="666">
        <f>טבלה38[[#This Row],[ערב בישול 1]]*טבלה38[[#This Row],[מחיר ליח'' כולל ]]</f>
        <v>0</v>
      </c>
      <c r="AJ87" s="666">
        <f>טבלה38[[#This Row],[ערב בישול 2]]*טבלה38[[#This Row],[מחיר ליח'' כולל ]]</f>
        <v>0</v>
      </c>
      <c r="AK87" s="666">
        <f>טבלה38[[#This Row],[ערב בישול 3]]*טבלה38[[#This Row],[מחיר ליח'' כולל ]]</f>
        <v>0</v>
      </c>
      <c r="AL87" s="666">
        <f>טבלה38[[#This Row],[ערב קטן 1]]*טבלה38[[#This Row],[מחיר ליח'' כולל ]]</f>
        <v>0</v>
      </c>
      <c r="AM87" s="666">
        <f>טבלה38[[#This Row],[ערב קטן 2]]*טבלה38[[#This Row],[מחיר ליח'' כולל ]]</f>
        <v>0</v>
      </c>
      <c r="AN87" s="666">
        <f>טבלה38[[#This Row],[ערב קטן 3]]*טבלה38[[#This Row],[מחיר ליח'' כולל ]]</f>
        <v>0</v>
      </c>
      <c r="AO87" s="666">
        <f>טבלה38[[#This Row],[קיטים מיוחדים]]*טבלה38[[#This Row],[מחיר ליח'' כולל ]]</f>
        <v>0</v>
      </c>
      <c r="AP87" s="666">
        <f>טבלה38[[#This Row],[תוספות]]*טבלה38[[#This Row],[מחיר ליח'' כולל ]]</f>
        <v>0</v>
      </c>
    </row>
    <row r="88" spans="2:42" ht="14.4">
      <c r="B88" s="651">
        <v>267</v>
      </c>
      <c r="C88" s="650" t="s">
        <v>563</v>
      </c>
      <c r="D88" s="650" t="s">
        <v>602</v>
      </c>
      <c r="E88" s="650"/>
      <c r="F88" s="649" t="str">
        <f>IF(טבלה38[[#This Row],[סה"כ]]&gt;0,טבלה38[[#This Row],[סה"כ]],"")</f>
        <v/>
      </c>
      <c r="G88" s="656">
        <v>0.17</v>
      </c>
      <c r="H88" s="655">
        <f>טבלה38[[#This Row],[מחיר]]+טבלה38[[#This Row],[% מע"מ]]*טבלה38[[#This Row],[מחיר]]</f>
        <v>0</v>
      </c>
      <c r="I88" s="630">
        <f>טבלה38[[#This Row],[סה"כ]]*טבלה38[[#This Row],[מחיר ליח'' כולל ]]</f>
        <v>0</v>
      </c>
      <c r="J88" s="655">
        <f>SUM(טבלה38[[#This Row],[פימת קפה]:[תוספות]])</f>
        <v>0</v>
      </c>
      <c r="K88" s="655">
        <f>SUMIF(טבלה11517[מקט],טבלה38[[#This Row],[קוד מוצר]],טבלה11517[כמות])</f>
        <v>0</v>
      </c>
      <c r="L88" s="655">
        <f>SUMIF(טבלה115179[מקט],טבלה38[[#This Row],[קוד מוצר]],טבלה115179[כמות])</f>
        <v>0</v>
      </c>
      <c r="M88" s="655">
        <f>SUMIF(טבלה115[מקט],טבלה38[[#This Row],[קוד מוצר]],טבלה115[כמות])</f>
        <v>0</v>
      </c>
      <c r="N88" s="655">
        <f>SUMIF(טבלה1[מק"ט],טבלה38[[#This Row],[קוד מוצר]],טבלה1[כמות])</f>
        <v>0</v>
      </c>
      <c r="O88" s="655">
        <f>SUMIF(טבלה8[מק"ט],טבלה38[[#This Row],[קוד מוצר]],טבלה8[הזמנה])</f>
        <v>0</v>
      </c>
      <c r="P88" s="655">
        <f>SUMIF(טבלה15[מק"ט],טבלה38[[#This Row],[קוד מוצר]],טבלה15[הזמנה])</f>
        <v>0</v>
      </c>
      <c r="Q88" s="655">
        <f>SUMIF(טבלה1151718[מקט],טבלה38[[#This Row],[קוד מוצר]],טבלה1151718[כמות])</f>
        <v>0</v>
      </c>
      <c r="R88" s="655">
        <f>SUMIF(טבלה125[מקט],טבלה38[[#This Row],[קוד מוצר]],טבלה125[כמות])</f>
        <v>0</v>
      </c>
      <c r="S88" s="655">
        <f>SUMIF(טבלה33[מק"ט],טבלה38[[#This Row],[קוד מוצר]],טבלה33[הזמנה])</f>
        <v>0</v>
      </c>
      <c r="T88" s="655">
        <f>SUMIF(טבלה34[עמודה1],טבלה38[[#This Row],[קוד מוצר]],טבלה34[הזמנה])</f>
        <v>0</v>
      </c>
      <c r="U88" s="655">
        <f>SUMIF(טבלה35[עמודה1],טבלה38[[#This Row],[קוד מוצר]],טבלה35[הזמנה])</f>
        <v>0</v>
      </c>
      <c r="V88" s="655">
        <f>SUMIF(טבלה3338[מק"ט],טבלה38[[#This Row],[קוד מוצר]],טבלה3338[הזמנה])</f>
        <v>0</v>
      </c>
      <c r="W88" s="655">
        <f>SUMIF(טבלה3540[עמודה1],טבלה38[[#This Row],[קוד מוצר]],טבלה3540[הזמנה])</f>
        <v>0</v>
      </c>
      <c r="X88" s="655">
        <f>SUMIF(טבלה3441[עמודה1],טבלה38[[#This Row],[קוד מוצר]],טבלה3441[הזמנה])</f>
        <v>0</v>
      </c>
      <c r="Y88" s="655">
        <f>SUMIF(טבלה24[מקט],טבלה38[[#This Row],[קוד מוצר]],טבלה24[כמות])</f>
        <v>0</v>
      </c>
      <c r="Z88" s="655">
        <f>SUMIF(טבלה628[קוד מוצר],טבלה38[[#This Row],[קוד מוצר]],טבלה628[תוספת])</f>
        <v>0</v>
      </c>
      <c r="AA88" s="610">
        <f>טבלה38[[#This Row],[פימת קפה]]*טבלה38[[#This Row],[מחיר ליח'' כולל ]]</f>
        <v>0</v>
      </c>
      <c r="AB88" s="610">
        <f>טבלה38[[#This Row],[פת שחרית]]*טבלה38[[#This Row],[מחיר ליח'' כולל ]]</f>
        <v>0</v>
      </c>
      <c r="AC88" s="610">
        <f>טבלה38[[#This Row],[א. בוקר פריסה]]*טבלה38[[#This Row],[מחיר ליח'' כולל ]]</f>
        <v>0</v>
      </c>
      <c r="AD88" s="666">
        <f>טבלה38[[#This Row],[א. צהררים פריסה ]]*טבלה38[[#This Row],[מחיר ליח'' כולל ]]</f>
        <v>0</v>
      </c>
      <c r="AE88" s="666">
        <f>טבלה38[[#This Row],[בוקר קיטים]]*טבלה38[[#This Row],[מחיר ליח'' כולל ]]</f>
        <v>0</v>
      </c>
      <c r="AF88" s="666">
        <f>טבלה38[[#This Row],[צהריים קיטים]]*טבלה38[[#This Row],[מחיר ליח'' כולל ]]</f>
        <v>0</v>
      </c>
      <c r="AG88" s="666">
        <f>טבלה38[[#This Row],[פריסת אמצע]]*טבלה38[[#This Row],[מחיר ליח'' כולל ]]</f>
        <v>0</v>
      </c>
      <c r="AH88" s="666">
        <f>טבלה38[[#This Row],[מרק]]*טבלה38[[#This Row],[מחיר ליח'' כולל ]]</f>
        <v>0</v>
      </c>
      <c r="AI88" s="666">
        <f>טבלה38[[#This Row],[ערב בישול 1]]*טבלה38[[#This Row],[מחיר ליח'' כולל ]]</f>
        <v>0</v>
      </c>
      <c r="AJ88" s="666">
        <f>טבלה38[[#This Row],[ערב בישול 2]]*טבלה38[[#This Row],[מחיר ליח'' כולל ]]</f>
        <v>0</v>
      </c>
      <c r="AK88" s="666">
        <f>טבלה38[[#This Row],[ערב בישול 3]]*טבלה38[[#This Row],[מחיר ליח'' כולל ]]</f>
        <v>0</v>
      </c>
      <c r="AL88" s="666">
        <f>טבלה38[[#This Row],[ערב קטן 1]]*טבלה38[[#This Row],[מחיר ליח'' כולל ]]</f>
        <v>0</v>
      </c>
      <c r="AM88" s="666">
        <f>טבלה38[[#This Row],[ערב קטן 2]]*טבלה38[[#This Row],[מחיר ליח'' כולל ]]</f>
        <v>0</v>
      </c>
      <c r="AN88" s="666">
        <f>טבלה38[[#This Row],[ערב קטן 3]]*טבלה38[[#This Row],[מחיר ליח'' כולל ]]</f>
        <v>0</v>
      </c>
      <c r="AO88" s="666">
        <f>טבלה38[[#This Row],[קיטים מיוחדים]]*טבלה38[[#This Row],[מחיר ליח'' כולל ]]</f>
        <v>0</v>
      </c>
      <c r="AP88" s="666">
        <f>טבלה38[[#This Row],[תוספות]]*טבלה38[[#This Row],[מחיר ליח'' כולל ]]</f>
        <v>0</v>
      </c>
    </row>
    <row r="89" spans="2:42" ht="14.4">
      <c r="B89" s="651">
        <v>310</v>
      </c>
      <c r="C89" s="650" t="s">
        <v>373</v>
      </c>
      <c r="D89" s="650" t="s">
        <v>8</v>
      </c>
      <c r="E89" s="650"/>
      <c r="F89" s="649" t="str">
        <f>IF(טבלה38[[#This Row],[סה"כ]]&gt;0,טבלה38[[#This Row],[סה"כ]],"")</f>
        <v/>
      </c>
      <c r="G89" s="656">
        <v>0</v>
      </c>
      <c r="H89" s="655">
        <f>טבלה38[[#This Row],[מחיר]]+טבלה38[[#This Row],[% מע"מ]]*טבלה38[[#This Row],[מחיר]]</f>
        <v>0</v>
      </c>
      <c r="I89" s="630">
        <f>טבלה38[[#This Row],[סה"כ]]*טבלה38[[#This Row],[מחיר ליח'' כולל ]]</f>
        <v>0</v>
      </c>
      <c r="J89" s="655">
        <f>SUM(טבלה38[[#This Row],[פימת קפה]:[תוספות]])</f>
        <v>0</v>
      </c>
      <c r="K89" s="655">
        <f>SUMIF(טבלה11517[מקט],טבלה38[[#This Row],[קוד מוצר]],טבלה11517[כמות])</f>
        <v>0</v>
      </c>
      <c r="L89" s="655">
        <f>SUMIF(טבלה115179[מקט],טבלה38[[#This Row],[קוד מוצר]],טבלה115179[כמות])</f>
        <v>0</v>
      </c>
      <c r="M89" s="655">
        <f>SUMIF(טבלה115[מקט],טבלה38[[#This Row],[קוד מוצר]],טבלה115[כמות])</f>
        <v>0</v>
      </c>
      <c r="N89" s="655">
        <f>SUMIF(טבלה1[מק"ט],טבלה38[[#This Row],[קוד מוצר]],טבלה1[כמות])</f>
        <v>0</v>
      </c>
      <c r="O89" s="655">
        <f>SUMIF(טבלה8[מק"ט],טבלה38[[#This Row],[קוד מוצר]],טבלה8[הזמנה])</f>
        <v>0</v>
      </c>
      <c r="P89" s="655">
        <f>SUMIF(טבלה15[מק"ט],טבלה38[[#This Row],[קוד מוצר]],טבלה15[הזמנה])</f>
        <v>0</v>
      </c>
      <c r="Q89" s="655">
        <f>SUMIF(טבלה1151718[מקט],טבלה38[[#This Row],[קוד מוצר]],טבלה1151718[כמות])</f>
        <v>0</v>
      </c>
      <c r="R89" s="655">
        <f>SUMIF(טבלה125[מקט],טבלה38[[#This Row],[קוד מוצר]],טבלה125[כמות])</f>
        <v>0</v>
      </c>
      <c r="S89" s="655">
        <f>SUMIF(טבלה33[מק"ט],טבלה38[[#This Row],[קוד מוצר]],טבלה33[הזמנה])</f>
        <v>0</v>
      </c>
      <c r="T89" s="655">
        <f>SUMIF(טבלה34[עמודה1],טבלה38[[#This Row],[קוד מוצר]],טבלה34[הזמנה])</f>
        <v>0</v>
      </c>
      <c r="U89" s="655">
        <f>SUMIF(טבלה35[עמודה1],טבלה38[[#This Row],[קוד מוצר]],טבלה35[הזמנה])</f>
        <v>0</v>
      </c>
      <c r="V89" s="655">
        <f>SUMIF(טבלה3338[מק"ט],טבלה38[[#This Row],[קוד מוצר]],טבלה3338[הזמנה])</f>
        <v>0</v>
      </c>
      <c r="W89" s="655">
        <f>SUMIF(טבלה3540[עמודה1],טבלה38[[#This Row],[קוד מוצר]],טבלה3540[הזמנה])</f>
        <v>0</v>
      </c>
      <c r="X89" s="655">
        <f>SUMIF(טבלה3441[עמודה1],טבלה38[[#This Row],[קוד מוצר]],טבלה3441[הזמנה])</f>
        <v>0</v>
      </c>
      <c r="Y89" s="655">
        <f>SUMIF(טבלה24[מקט],טבלה38[[#This Row],[קוד מוצר]],טבלה24[כמות])</f>
        <v>0</v>
      </c>
      <c r="Z89" s="655">
        <f>SUMIF(טבלה628[קוד מוצר],טבלה38[[#This Row],[קוד מוצר]],טבלה628[תוספת])</f>
        <v>0</v>
      </c>
      <c r="AA89" s="610">
        <f>טבלה38[[#This Row],[פימת קפה]]*טבלה38[[#This Row],[מחיר ליח'' כולל ]]</f>
        <v>0</v>
      </c>
      <c r="AB89" s="610">
        <f>טבלה38[[#This Row],[פת שחרית]]*טבלה38[[#This Row],[מחיר ליח'' כולל ]]</f>
        <v>0</v>
      </c>
      <c r="AC89" s="610">
        <f>טבלה38[[#This Row],[א. בוקר פריסה]]*טבלה38[[#This Row],[מחיר ליח'' כולל ]]</f>
        <v>0</v>
      </c>
      <c r="AD89" s="666">
        <f>טבלה38[[#This Row],[א. צהררים פריסה ]]*טבלה38[[#This Row],[מחיר ליח'' כולל ]]</f>
        <v>0</v>
      </c>
      <c r="AE89" s="666">
        <f>טבלה38[[#This Row],[בוקר קיטים]]*טבלה38[[#This Row],[מחיר ליח'' כולל ]]</f>
        <v>0</v>
      </c>
      <c r="AF89" s="666">
        <f>טבלה38[[#This Row],[צהריים קיטים]]*טבלה38[[#This Row],[מחיר ליח'' כולל ]]</f>
        <v>0</v>
      </c>
      <c r="AG89" s="666">
        <f>טבלה38[[#This Row],[פריסת אמצע]]*טבלה38[[#This Row],[מחיר ליח'' כולל ]]</f>
        <v>0</v>
      </c>
      <c r="AH89" s="666">
        <f>טבלה38[[#This Row],[מרק]]*טבלה38[[#This Row],[מחיר ליח'' כולל ]]</f>
        <v>0</v>
      </c>
      <c r="AI89" s="666">
        <f>טבלה38[[#This Row],[ערב בישול 1]]*טבלה38[[#This Row],[מחיר ליח'' כולל ]]</f>
        <v>0</v>
      </c>
      <c r="AJ89" s="666">
        <f>טבלה38[[#This Row],[ערב בישול 2]]*טבלה38[[#This Row],[מחיר ליח'' כולל ]]</f>
        <v>0</v>
      </c>
      <c r="AK89" s="666">
        <f>טבלה38[[#This Row],[ערב בישול 3]]*טבלה38[[#This Row],[מחיר ליח'' כולל ]]</f>
        <v>0</v>
      </c>
      <c r="AL89" s="666">
        <f>טבלה38[[#This Row],[ערב קטן 1]]*טבלה38[[#This Row],[מחיר ליח'' כולל ]]</f>
        <v>0</v>
      </c>
      <c r="AM89" s="666">
        <f>טבלה38[[#This Row],[ערב קטן 2]]*טבלה38[[#This Row],[מחיר ליח'' כולל ]]</f>
        <v>0</v>
      </c>
      <c r="AN89" s="666">
        <f>טבלה38[[#This Row],[ערב קטן 3]]*טבלה38[[#This Row],[מחיר ליח'' כולל ]]</f>
        <v>0</v>
      </c>
      <c r="AO89" s="666">
        <f>טבלה38[[#This Row],[קיטים מיוחדים]]*טבלה38[[#This Row],[מחיר ליח'' כולל ]]</f>
        <v>0</v>
      </c>
      <c r="AP89" s="666">
        <f>טבלה38[[#This Row],[תוספות]]*טבלה38[[#This Row],[מחיר ליח'' כולל ]]</f>
        <v>0</v>
      </c>
    </row>
    <row r="90" spans="2:42" ht="14.4">
      <c r="B90" s="651">
        <v>355</v>
      </c>
      <c r="C90" s="650" t="s">
        <v>1126</v>
      </c>
      <c r="D90" s="650" t="s">
        <v>602</v>
      </c>
      <c r="E90" s="650"/>
      <c r="F90" s="649" t="str">
        <f>IF(טבלה38[[#This Row],[סה"כ]]&gt;0,טבלה38[[#This Row],[סה"כ]],"")</f>
        <v/>
      </c>
      <c r="G90" s="656">
        <v>0.17</v>
      </c>
      <c r="H90" s="655">
        <f>טבלה38[[#This Row],[מחיר]]+טבלה38[[#This Row],[% מע"מ]]*טבלה38[[#This Row],[מחיר]]</f>
        <v>0</v>
      </c>
      <c r="I90" s="630">
        <f>טבלה38[[#This Row],[סה"כ]]*טבלה38[[#This Row],[מחיר ליח'' כולל ]]</f>
        <v>0</v>
      </c>
      <c r="J90" s="655">
        <f>SUM(טבלה38[[#This Row],[פימת קפה]:[תוספות]])</f>
        <v>0</v>
      </c>
      <c r="K90" s="655">
        <f>SUMIF(טבלה11517[מקט],טבלה38[[#This Row],[קוד מוצר]],טבלה11517[כמות])</f>
        <v>0</v>
      </c>
      <c r="L90" s="655">
        <f>SUMIF(טבלה115179[מקט],טבלה38[[#This Row],[קוד מוצר]],טבלה115179[כמות])</f>
        <v>0</v>
      </c>
      <c r="M90" s="655">
        <f>SUMIF(טבלה115[מקט],טבלה38[[#This Row],[קוד מוצר]],טבלה115[כמות])</f>
        <v>0</v>
      </c>
      <c r="N90" s="655">
        <f>SUMIF(טבלה1[מק"ט],טבלה38[[#This Row],[קוד מוצר]],טבלה1[כמות])</f>
        <v>0</v>
      </c>
      <c r="O90" s="655">
        <f>SUMIF(טבלה8[מק"ט],טבלה38[[#This Row],[קוד מוצר]],טבלה8[הזמנה])</f>
        <v>0</v>
      </c>
      <c r="P90" s="655">
        <f>SUMIF(טבלה15[מק"ט],טבלה38[[#This Row],[קוד מוצר]],טבלה15[הזמנה])</f>
        <v>0</v>
      </c>
      <c r="Q90" s="655">
        <f>SUMIF(טבלה1151718[מקט],טבלה38[[#This Row],[קוד מוצר]],טבלה1151718[כמות])</f>
        <v>0</v>
      </c>
      <c r="R90" s="655">
        <f>SUMIF(טבלה125[מקט],טבלה38[[#This Row],[קוד מוצר]],טבלה125[כמות])</f>
        <v>0</v>
      </c>
      <c r="S90" s="655">
        <f>SUMIF(טבלה33[מק"ט],טבלה38[[#This Row],[קוד מוצר]],טבלה33[הזמנה])</f>
        <v>0</v>
      </c>
      <c r="T90" s="655">
        <f>SUMIF(טבלה34[עמודה1],טבלה38[[#This Row],[קוד מוצר]],טבלה34[הזמנה])</f>
        <v>0</v>
      </c>
      <c r="U90" s="655">
        <f>SUMIF(טבלה35[עמודה1],טבלה38[[#This Row],[קוד מוצר]],טבלה35[הזמנה])</f>
        <v>0</v>
      </c>
      <c r="V90" s="655">
        <f>SUMIF(טבלה3338[מק"ט],טבלה38[[#This Row],[קוד מוצר]],טבלה3338[הזמנה])</f>
        <v>0</v>
      </c>
      <c r="W90" s="655">
        <f>SUMIF(טבלה3540[עמודה1],טבלה38[[#This Row],[קוד מוצר]],טבלה3540[הזמנה])</f>
        <v>0</v>
      </c>
      <c r="X90" s="655">
        <f>SUMIF(טבלה3441[עמודה1],טבלה38[[#This Row],[קוד מוצר]],טבלה3441[הזמנה])</f>
        <v>0</v>
      </c>
      <c r="Y90" s="655">
        <f>SUMIF(טבלה24[מקט],טבלה38[[#This Row],[קוד מוצר]],טבלה24[כמות])</f>
        <v>0</v>
      </c>
      <c r="Z90" s="655">
        <f>SUMIF(טבלה628[קוד מוצר],טבלה38[[#This Row],[קוד מוצר]],טבלה628[תוספת])</f>
        <v>0</v>
      </c>
      <c r="AA90" s="610">
        <f>טבלה38[[#This Row],[פימת קפה]]*טבלה38[[#This Row],[מחיר ליח'' כולל ]]</f>
        <v>0</v>
      </c>
      <c r="AB90" s="610">
        <f>טבלה38[[#This Row],[פת שחרית]]*טבלה38[[#This Row],[מחיר ליח'' כולל ]]</f>
        <v>0</v>
      </c>
      <c r="AC90" s="610">
        <f>טבלה38[[#This Row],[א. בוקר פריסה]]*טבלה38[[#This Row],[מחיר ליח'' כולל ]]</f>
        <v>0</v>
      </c>
      <c r="AD90" s="666">
        <f>טבלה38[[#This Row],[א. צהררים פריסה ]]*טבלה38[[#This Row],[מחיר ליח'' כולל ]]</f>
        <v>0</v>
      </c>
      <c r="AE90" s="666">
        <f>טבלה38[[#This Row],[בוקר קיטים]]*טבלה38[[#This Row],[מחיר ליח'' כולל ]]</f>
        <v>0</v>
      </c>
      <c r="AF90" s="666">
        <f>טבלה38[[#This Row],[צהריים קיטים]]*טבלה38[[#This Row],[מחיר ליח'' כולל ]]</f>
        <v>0</v>
      </c>
      <c r="AG90" s="666">
        <f>טבלה38[[#This Row],[פריסת אמצע]]*טבלה38[[#This Row],[מחיר ליח'' כולל ]]</f>
        <v>0</v>
      </c>
      <c r="AH90" s="666">
        <f>טבלה38[[#This Row],[מרק]]*טבלה38[[#This Row],[מחיר ליח'' כולל ]]</f>
        <v>0</v>
      </c>
      <c r="AI90" s="666">
        <f>טבלה38[[#This Row],[ערב בישול 1]]*טבלה38[[#This Row],[מחיר ליח'' כולל ]]</f>
        <v>0</v>
      </c>
      <c r="AJ90" s="666">
        <f>טבלה38[[#This Row],[ערב בישול 2]]*טבלה38[[#This Row],[מחיר ליח'' כולל ]]</f>
        <v>0</v>
      </c>
      <c r="AK90" s="666">
        <f>טבלה38[[#This Row],[ערב בישול 3]]*טבלה38[[#This Row],[מחיר ליח'' כולל ]]</f>
        <v>0</v>
      </c>
      <c r="AL90" s="666">
        <f>טבלה38[[#This Row],[ערב קטן 1]]*טבלה38[[#This Row],[מחיר ליח'' כולל ]]</f>
        <v>0</v>
      </c>
      <c r="AM90" s="666">
        <f>טבלה38[[#This Row],[ערב קטן 2]]*טבלה38[[#This Row],[מחיר ליח'' כולל ]]</f>
        <v>0</v>
      </c>
      <c r="AN90" s="666">
        <f>טבלה38[[#This Row],[ערב קטן 3]]*טבלה38[[#This Row],[מחיר ליח'' כולל ]]</f>
        <v>0</v>
      </c>
      <c r="AO90" s="666">
        <f>טבלה38[[#This Row],[קיטים מיוחדים]]*טבלה38[[#This Row],[מחיר ליח'' כולל ]]</f>
        <v>0</v>
      </c>
      <c r="AP90" s="666">
        <f>טבלה38[[#This Row],[תוספות]]*טבלה38[[#This Row],[מחיר ליח'' כולל ]]</f>
        <v>0</v>
      </c>
    </row>
    <row r="91" spans="2:42" ht="14.4">
      <c r="B91" s="651">
        <v>360</v>
      </c>
      <c r="C91" s="650" t="s">
        <v>935</v>
      </c>
      <c r="D91" s="650" t="s">
        <v>602</v>
      </c>
      <c r="E91" s="650"/>
      <c r="F91" s="649" t="str">
        <f>IF(טבלה38[[#This Row],[סה"כ]]&gt;0,טבלה38[[#This Row],[סה"כ]],"")</f>
        <v/>
      </c>
      <c r="G91" s="656">
        <v>0.17</v>
      </c>
      <c r="H91" s="655">
        <f>טבלה38[[#This Row],[מחיר]]+טבלה38[[#This Row],[% מע"מ]]*טבלה38[[#This Row],[מחיר]]</f>
        <v>0</v>
      </c>
      <c r="I91" s="630">
        <f>טבלה38[[#This Row],[סה"כ]]*טבלה38[[#This Row],[מחיר ליח'' כולל ]]</f>
        <v>0</v>
      </c>
      <c r="J91" s="655">
        <f>SUM(טבלה38[[#This Row],[פימת קפה]:[תוספות]])</f>
        <v>0</v>
      </c>
      <c r="K91" s="655">
        <f>SUMIF(טבלה11517[מקט],טבלה38[[#This Row],[קוד מוצר]],טבלה11517[כמות])</f>
        <v>0</v>
      </c>
      <c r="L91" s="655">
        <f>SUMIF(טבלה115179[מקט],טבלה38[[#This Row],[קוד מוצר]],טבלה115179[כמות])</f>
        <v>0</v>
      </c>
      <c r="M91" s="655">
        <f>SUMIF(טבלה115[מקט],טבלה38[[#This Row],[קוד מוצר]],טבלה115[כמות])</f>
        <v>0</v>
      </c>
      <c r="N91" s="655">
        <f>SUMIF(טבלה1[מק"ט],טבלה38[[#This Row],[קוד מוצר]],טבלה1[כמות])</f>
        <v>0</v>
      </c>
      <c r="O91" s="655">
        <f>SUMIF(טבלה8[מק"ט],טבלה38[[#This Row],[קוד מוצר]],טבלה8[הזמנה])</f>
        <v>0</v>
      </c>
      <c r="P91" s="655">
        <f>SUMIF(טבלה15[מק"ט],טבלה38[[#This Row],[קוד מוצר]],טבלה15[הזמנה])</f>
        <v>0</v>
      </c>
      <c r="Q91" s="655">
        <f>SUMIF(טבלה1151718[מקט],טבלה38[[#This Row],[קוד מוצר]],טבלה1151718[כמות])</f>
        <v>0</v>
      </c>
      <c r="R91" s="655">
        <f>SUMIF(טבלה125[מקט],טבלה38[[#This Row],[קוד מוצר]],טבלה125[כמות])</f>
        <v>0</v>
      </c>
      <c r="S91" s="655">
        <f>SUMIF(טבלה33[מק"ט],טבלה38[[#This Row],[קוד מוצר]],טבלה33[הזמנה])</f>
        <v>0</v>
      </c>
      <c r="T91" s="655">
        <f>SUMIF(טבלה34[עמודה1],טבלה38[[#This Row],[קוד מוצר]],טבלה34[הזמנה])</f>
        <v>0</v>
      </c>
      <c r="U91" s="655">
        <f>SUMIF(טבלה35[עמודה1],טבלה38[[#This Row],[קוד מוצר]],טבלה35[הזמנה])</f>
        <v>0</v>
      </c>
      <c r="V91" s="655">
        <f>SUMIF(טבלה3338[מק"ט],טבלה38[[#This Row],[קוד מוצר]],טבלה3338[הזמנה])</f>
        <v>0</v>
      </c>
      <c r="W91" s="655">
        <f>SUMIF(טבלה3540[עמודה1],טבלה38[[#This Row],[קוד מוצר]],טבלה3540[הזמנה])</f>
        <v>0</v>
      </c>
      <c r="X91" s="655">
        <f>SUMIF(טבלה3441[עמודה1],טבלה38[[#This Row],[קוד מוצר]],טבלה3441[הזמנה])</f>
        <v>0</v>
      </c>
      <c r="Y91" s="655">
        <f>SUMIF(טבלה24[מקט],טבלה38[[#This Row],[קוד מוצר]],טבלה24[כמות])</f>
        <v>0</v>
      </c>
      <c r="Z91" s="655">
        <f>SUMIF(טבלה628[קוד מוצר],טבלה38[[#This Row],[קוד מוצר]],טבלה628[תוספת])</f>
        <v>0</v>
      </c>
      <c r="AA91" s="610">
        <f>טבלה38[[#This Row],[פימת קפה]]*טבלה38[[#This Row],[מחיר ליח'' כולל ]]</f>
        <v>0</v>
      </c>
      <c r="AB91" s="610">
        <f>טבלה38[[#This Row],[פת שחרית]]*טבלה38[[#This Row],[מחיר ליח'' כולל ]]</f>
        <v>0</v>
      </c>
      <c r="AC91" s="610">
        <f>טבלה38[[#This Row],[א. בוקר פריסה]]*טבלה38[[#This Row],[מחיר ליח'' כולל ]]</f>
        <v>0</v>
      </c>
      <c r="AD91" s="666">
        <f>טבלה38[[#This Row],[א. צהררים פריסה ]]*טבלה38[[#This Row],[מחיר ליח'' כולל ]]</f>
        <v>0</v>
      </c>
      <c r="AE91" s="666">
        <f>טבלה38[[#This Row],[בוקר קיטים]]*טבלה38[[#This Row],[מחיר ליח'' כולל ]]</f>
        <v>0</v>
      </c>
      <c r="AF91" s="666">
        <f>טבלה38[[#This Row],[צהריים קיטים]]*טבלה38[[#This Row],[מחיר ליח'' כולל ]]</f>
        <v>0</v>
      </c>
      <c r="AG91" s="666">
        <f>טבלה38[[#This Row],[פריסת אמצע]]*טבלה38[[#This Row],[מחיר ליח'' כולל ]]</f>
        <v>0</v>
      </c>
      <c r="AH91" s="666">
        <f>טבלה38[[#This Row],[מרק]]*טבלה38[[#This Row],[מחיר ליח'' כולל ]]</f>
        <v>0</v>
      </c>
      <c r="AI91" s="666">
        <f>טבלה38[[#This Row],[ערב בישול 1]]*טבלה38[[#This Row],[מחיר ליח'' כולל ]]</f>
        <v>0</v>
      </c>
      <c r="AJ91" s="666">
        <f>טבלה38[[#This Row],[ערב בישול 2]]*טבלה38[[#This Row],[מחיר ליח'' כולל ]]</f>
        <v>0</v>
      </c>
      <c r="AK91" s="666">
        <f>טבלה38[[#This Row],[ערב בישול 3]]*טבלה38[[#This Row],[מחיר ליח'' כולל ]]</f>
        <v>0</v>
      </c>
      <c r="AL91" s="666">
        <f>טבלה38[[#This Row],[ערב קטן 1]]*טבלה38[[#This Row],[מחיר ליח'' כולל ]]</f>
        <v>0</v>
      </c>
      <c r="AM91" s="666">
        <f>טבלה38[[#This Row],[ערב קטן 2]]*טבלה38[[#This Row],[מחיר ליח'' כולל ]]</f>
        <v>0</v>
      </c>
      <c r="AN91" s="666">
        <f>טבלה38[[#This Row],[ערב קטן 3]]*טבלה38[[#This Row],[מחיר ליח'' כולל ]]</f>
        <v>0</v>
      </c>
      <c r="AO91" s="666">
        <f>טבלה38[[#This Row],[קיטים מיוחדים]]*טבלה38[[#This Row],[מחיר ליח'' כולל ]]</f>
        <v>0</v>
      </c>
      <c r="AP91" s="666">
        <f>טבלה38[[#This Row],[תוספות]]*טבלה38[[#This Row],[מחיר ליח'' כולל ]]</f>
        <v>0</v>
      </c>
    </row>
    <row r="92" spans="2:42" ht="14.4">
      <c r="B92" s="651">
        <v>371</v>
      </c>
      <c r="C92" s="650" t="s">
        <v>376</v>
      </c>
      <c r="D92" s="650" t="s">
        <v>8</v>
      </c>
      <c r="E92" s="650"/>
      <c r="F92" s="649" t="str">
        <f>IF(טבלה38[[#This Row],[סה"כ]]&gt;0,טבלה38[[#This Row],[סה"כ]],"")</f>
        <v/>
      </c>
      <c r="G92" s="656">
        <v>0</v>
      </c>
      <c r="H92" s="655">
        <f>טבלה38[[#This Row],[מחיר]]+טבלה38[[#This Row],[% מע"מ]]*טבלה38[[#This Row],[מחיר]]</f>
        <v>0</v>
      </c>
      <c r="I92" s="630">
        <f>טבלה38[[#This Row],[סה"כ]]*טבלה38[[#This Row],[מחיר ליח'' כולל ]]</f>
        <v>0</v>
      </c>
      <c r="J92" s="655">
        <f>SUM(טבלה38[[#This Row],[פימת קפה]:[תוספות]])</f>
        <v>0</v>
      </c>
      <c r="K92" s="655">
        <f>SUMIF(טבלה11517[מקט],טבלה38[[#This Row],[קוד מוצר]],טבלה11517[כמות])</f>
        <v>0</v>
      </c>
      <c r="L92" s="655">
        <f>SUMIF(טבלה115179[מקט],טבלה38[[#This Row],[קוד מוצר]],טבלה115179[כמות])</f>
        <v>0</v>
      </c>
      <c r="M92" s="655">
        <f>SUMIF(טבלה115[מקט],טבלה38[[#This Row],[קוד מוצר]],טבלה115[כמות])</f>
        <v>0</v>
      </c>
      <c r="N92" s="655">
        <f>SUMIF(טבלה1[מק"ט],טבלה38[[#This Row],[קוד מוצר]],טבלה1[כמות])</f>
        <v>0</v>
      </c>
      <c r="O92" s="655">
        <f>SUMIF(טבלה8[מק"ט],טבלה38[[#This Row],[קוד מוצר]],טבלה8[הזמנה])</f>
        <v>0</v>
      </c>
      <c r="P92" s="655">
        <f>SUMIF(טבלה15[מק"ט],טבלה38[[#This Row],[קוד מוצר]],טבלה15[הזמנה])</f>
        <v>0</v>
      </c>
      <c r="Q92" s="655">
        <f>SUMIF(טבלה1151718[מקט],טבלה38[[#This Row],[קוד מוצר]],טבלה1151718[כמות])</f>
        <v>0</v>
      </c>
      <c r="R92" s="655">
        <f>SUMIF(טבלה125[מקט],טבלה38[[#This Row],[קוד מוצר]],טבלה125[כמות])</f>
        <v>0</v>
      </c>
      <c r="S92" s="655">
        <f>SUMIF(טבלה33[מק"ט],טבלה38[[#This Row],[קוד מוצר]],טבלה33[הזמנה])</f>
        <v>0</v>
      </c>
      <c r="T92" s="655">
        <f>SUMIF(טבלה34[עמודה1],טבלה38[[#This Row],[קוד מוצר]],טבלה34[הזמנה])</f>
        <v>0</v>
      </c>
      <c r="U92" s="655">
        <f>SUMIF(טבלה35[עמודה1],טבלה38[[#This Row],[קוד מוצר]],טבלה35[הזמנה])</f>
        <v>0</v>
      </c>
      <c r="V92" s="655">
        <f>SUMIF(טבלה3338[מק"ט],טבלה38[[#This Row],[קוד מוצר]],טבלה3338[הזמנה])</f>
        <v>0</v>
      </c>
      <c r="W92" s="655">
        <f>SUMIF(טבלה3540[עמודה1],טבלה38[[#This Row],[קוד מוצר]],טבלה3540[הזמנה])</f>
        <v>0</v>
      </c>
      <c r="X92" s="655">
        <f>SUMIF(טבלה3441[עמודה1],טבלה38[[#This Row],[קוד מוצר]],טבלה3441[הזמנה])</f>
        <v>0</v>
      </c>
      <c r="Y92" s="655">
        <f>SUMIF(טבלה24[מקט],טבלה38[[#This Row],[קוד מוצר]],טבלה24[כמות])</f>
        <v>0</v>
      </c>
      <c r="Z92" s="655">
        <f>SUMIF(טבלה628[קוד מוצר],טבלה38[[#This Row],[קוד מוצר]],טבלה628[תוספת])</f>
        <v>0</v>
      </c>
      <c r="AA92" s="610">
        <f>טבלה38[[#This Row],[פימת קפה]]*טבלה38[[#This Row],[מחיר ליח'' כולל ]]</f>
        <v>0</v>
      </c>
      <c r="AB92" s="610">
        <f>טבלה38[[#This Row],[פת שחרית]]*טבלה38[[#This Row],[מחיר ליח'' כולל ]]</f>
        <v>0</v>
      </c>
      <c r="AC92" s="610">
        <f>טבלה38[[#This Row],[א. בוקר פריסה]]*טבלה38[[#This Row],[מחיר ליח'' כולל ]]</f>
        <v>0</v>
      </c>
      <c r="AD92" s="666">
        <f>טבלה38[[#This Row],[א. צהררים פריסה ]]*טבלה38[[#This Row],[מחיר ליח'' כולל ]]</f>
        <v>0</v>
      </c>
      <c r="AE92" s="666">
        <f>טבלה38[[#This Row],[בוקר קיטים]]*טבלה38[[#This Row],[מחיר ליח'' כולל ]]</f>
        <v>0</v>
      </c>
      <c r="AF92" s="666">
        <f>טבלה38[[#This Row],[צהריים קיטים]]*טבלה38[[#This Row],[מחיר ליח'' כולל ]]</f>
        <v>0</v>
      </c>
      <c r="AG92" s="666">
        <f>טבלה38[[#This Row],[פריסת אמצע]]*טבלה38[[#This Row],[מחיר ליח'' כולל ]]</f>
        <v>0</v>
      </c>
      <c r="AH92" s="666">
        <f>טבלה38[[#This Row],[מרק]]*טבלה38[[#This Row],[מחיר ליח'' כולל ]]</f>
        <v>0</v>
      </c>
      <c r="AI92" s="666">
        <f>טבלה38[[#This Row],[ערב בישול 1]]*טבלה38[[#This Row],[מחיר ליח'' כולל ]]</f>
        <v>0</v>
      </c>
      <c r="AJ92" s="666">
        <f>טבלה38[[#This Row],[ערב בישול 2]]*טבלה38[[#This Row],[מחיר ליח'' כולל ]]</f>
        <v>0</v>
      </c>
      <c r="AK92" s="666">
        <f>טבלה38[[#This Row],[ערב בישול 3]]*טבלה38[[#This Row],[מחיר ליח'' כולל ]]</f>
        <v>0</v>
      </c>
      <c r="AL92" s="666">
        <f>טבלה38[[#This Row],[ערב קטן 1]]*טבלה38[[#This Row],[מחיר ליח'' כולל ]]</f>
        <v>0</v>
      </c>
      <c r="AM92" s="666">
        <f>טבלה38[[#This Row],[ערב קטן 2]]*טבלה38[[#This Row],[מחיר ליח'' כולל ]]</f>
        <v>0</v>
      </c>
      <c r="AN92" s="666">
        <f>טבלה38[[#This Row],[ערב קטן 3]]*טבלה38[[#This Row],[מחיר ליח'' כולל ]]</f>
        <v>0</v>
      </c>
      <c r="AO92" s="666">
        <f>טבלה38[[#This Row],[קיטים מיוחדים]]*טבלה38[[#This Row],[מחיר ליח'' כולל ]]</f>
        <v>0</v>
      </c>
      <c r="AP92" s="666">
        <f>טבלה38[[#This Row],[תוספות]]*טבלה38[[#This Row],[מחיר ליח'' כולל ]]</f>
        <v>0</v>
      </c>
    </row>
    <row r="93" spans="2:42" ht="14.4">
      <c r="B93" s="651">
        <v>437</v>
      </c>
      <c r="C93" s="650" t="s">
        <v>378</v>
      </c>
      <c r="D93" s="650" t="s">
        <v>8</v>
      </c>
      <c r="E93" s="650"/>
      <c r="F93" s="649" t="str">
        <f>IF(טבלה38[[#This Row],[סה"כ]]&gt;0,טבלה38[[#This Row],[סה"כ]],"")</f>
        <v/>
      </c>
      <c r="G93" s="656">
        <v>0</v>
      </c>
      <c r="H93" s="655">
        <f>טבלה38[[#This Row],[מחיר]]+טבלה38[[#This Row],[% מע"מ]]*טבלה38[[#This Row],[מחיר]]</f>
        <v>0</v>
      </c>
      <c r="I93" s="630">
        <f>טבלה38[[#This Row],[סה"כ]]*טבלה38[[#This Row],[מחיר ליח'' כולל ]]</f>
        <v>0</v>
      </c>
      <c r="J93" s="655">
        <f>SUM(טבלה38[[#This Row],[פימת קפה]:[תוספות]])</f>
        <v>0</v>
      </c>
      <c r="K93" s="655">
        <f>SUMIF(טבלה11517[מקט],טבלה38[[#This Row],[קוד מוצר]],טבלה11517[כמות])</f>
        <v>0</v>
      </c>
      <c r="L93" s="655">
        <f>SUMIF(טבלה115179[מקט],טבלה38[[#This Row],[קוד מוצר]],טבלה115179[כמות])</f>
        <v>0</v>
      </c>
      <c r="M93" s="655">
        <f>SUMIF(טבלה115[מקט],טבלה38[[#This Row],[קוד מוצר]],טבלה115[כמות])</f>
        <v>0</v>
      </c>
      <c r="N93" s="655">
        <f>SUMIF(טבלה1[מק"ט],טבלה38[[#This Row],[קוד מוצר]],טבלה1[כמות])</f>
        <v>0</v>
      </c>
      <c r="O93" s="655">
        <f>SUMIF(טבלה8[מק"ט],טבלה38[[#This Row],[קוד מוצר]],טבלה8[הזמנה])</f>
        <v>0</v>
      </c>
      <c r="P93" s="655">
        <f>SUMIF(טבלה15[מק"ט],טבלה38[[#This Row],[קוד מוצר]],טבלה15[הזמנה])</f>
        <v>0</v>
      </c>
      <c r="Q93" s="655">
        <f>SUMIF(טבלה1151718[מקט],טבלה38[[#This Row],[קוד מוצר]],טבלה1151718[כמות])</f>
        <v>0</v>
      </c>
      <c r="R93" s="655">
        <f>SUMIF(טבלה125[מקט],טבלה38[[#This Row],[קוד מוצר]],טבלה125[כמות])</f>
        <v>0</v>
      </c>
      <c r="S93" s="655">
        <f>SUMIF(טבלה33[מק"ט],טבלה38[[#This Row],[קוד מוצר]],טבלה33[הזמנה])</f>
        <v>0</v>
      </c>
      <c r="T93" s="655">
        <f>SUMIF(טבלה34[עמודה1],טבלה38[[#This Row],[קוד מוצר]],טבלה34[הזמנה])</f>
        <v>0</v>
      </c>
      <c r="U93" s="655">
        <f>SUMIF(טבלה35[עמודה1],טבלה38[[#This Row],[קוד מוצר]],טבלה35[הזמנה])</f>
        <v>0</v>
      </c>
      <c r="V93" s="655">
        <f>SUMIF(טבלה3338[מק"ט],טבלה38[[#This Row],[קוד מוצר]],טבלה3338[הזמנה])</f>
        <v>0</v>
      </c>
      <c r="W93" s="655">
        <f>SUMIF(טבלה3540[עמודה1],טבלה38[[#This Row],[קוד מוצר]],טבלה3540[הזמנה])</f>
        <v>0</v>
      </c>
      <c r="X93" s="655">
        <f>SUMIF(טבלה3441[עמודה1],טבלה38[[#This Row],[קוד מוצר]],טבלה3441[הזמנה])</f>
        <v>0</v>
      </c>
      <c r="Y93" s="655">
        <f>SUMIF(טבלה24[מקט],טבלה38[[#This Row],[קוד מוצר]],טבלה24[כמות])</f>
        <v>0</v>
      </c>
      <c r="Z93" s="655">
        <f>SUMIF(טבלה628[קוד מוצר],טבלה38[[#This Row],[קוד מוצר]],טבלה628[תוספת])</f>
        <v>0</v>
      </c>
      <c r="AA93" s="610">
        <f>טבלה38[[#This Row],[פימת קפה]]*טבלה38[[#This Row],[מחיר ליח'' כולל ]]</f>
        <v>0</v>
      </c>
      <c r="AB93" s="610">
        <f>טבלה38[[#This Row],[פת שחרית]]*טבלה38[[#This Row],[מחיר ליח'' כולל ]]</f>
        <v>0</v>
      </c>
      <c r="AC93" s="610">
        <f>טבלה38[[#This Row],[א. בוקר פריסה]]*טבלה38[[#This Row],[מחיר ליח'' כולל ]]</f>
        <v>0</v>
      </c>
      <c r="AD93" s="666">
        <f>טבלה38[[#This Row],[א. צהררים פריסה ]]*טבלה38[[#This Row],[מחיר ליח'' כולל ]]</f>
        <v>0</v>
      </c>
      <c r="AE93" s="666">
        <f>טבלה38[[#This Row],[בוקר קיטים]]*טבלה38[[#This Row],[מחיר ליח'' כולל ]]</f>
        <v>0</v>
      </c>
      <c r="AF93" s="666">
        <f>טבלה38[[#This Row],[צהריים קיטים]]*טבלה38[[#This Row],[מחיר ליח'' כולל ]]</f>
        <v>0</v>
      </c>
      <c r="AG93" s="666">
        <f>טבלה38[[#This Row],[פריסת אמצע]]*טבלה38[[#This Row],[מחיר ליח'' כולל ]]</f>
        <v>0</v>
      </c>
      <c r="AH93" s="666">
        <f>טבלה38[[#This Row],[מרק]]*טבלה38[[#This Row],[מחיר ליח'' כולל ]]</f>
        <v>0</v>
      </c>
      <c r="AI93" s="666">
        <f>טבלה38[[#This Row],[ערב בישול 1]]*טבלה38[[#This Row],[מחיר ליח'' כולל ]]</f>
        <v>0</v>
      </c>
      <c r="AJ93" s="666">
        <f>טבלה38[[#This Row],[ערב בישול 2]]*טבלה38[[#This Row],[מחיר ליח'' כולל ]]</f>
        <v>0</v>
      </c>
      <c r="AK93" s="666">
        <f>טבלה38[[#This Row],[ערב בישול 3]]*טבלה38[[#This Row],[מחיר ליח'' כולל ]]</f>
        <v>0</v>
      </c>
      <c r="AL93" s="666">
        <f>טבלה38[[#This Row],[ערב קטן 1]]*טבלה38[[#This Row],[מחיר ליח'' כולל ]]</f>
        <v>0</v>
      </c>
      <c r="AM93" s="666">
        <f>טבלה38[[#This Row],[ערב קטן 2]]*טבלה38[[#This Row],[מחיר ליח'' כולל ]]</f>
        <v>0</v>
      </c>
      <c r="AN93" s="666">
        <f>טבלה38[[#This Row],[ערב קטן 3]]*טבלה38[[#This Row],[מחיר ליח'' כולל ]]</f>
        <v>0</v>
      </c>
      <c r="AO93" s="666">
        <f>טבלה38[[#This Row],[קיטים מיוחדים]]*טבלה38[[#This Row],[מחיר ליח'' כולל ]]</f>
        <v>0</v>
      </c>
      <c r="AP93" s="666">
        <f>טבלה38[[#This Row],[תוספות]]*טבלה38[[#This Row],[מחיר ליח'' כולל ]]</f>
        <v>0</v>
      </c>
    </row>
    <row r="94" spans="2:42" ht="14.4">
      <c r="B94" s="651">
        <v>627</v>
      </c>
      <c r="C94" s="650" t="s">
        <v>390</v>
      </c>
      <c r="D94" s="650" t="s">
        <v>8</v>
      </c>
      <c r="E94" s="650"/>
      <c r="F94" s="649" t="str">
        <f>IF(טבלה38[[#This Row],[סה"כ]]&gt;0,טבלה38[[#This Row],[סה"כ]],"")</f>
        <v/>
      </c>
      <c r="G94" s="656">
        <v>0</v>
      </c>
      <c r="H94" s="655">
        <f>טבלה38[[#This Row],[מחיר]]+טבלה38[[#This Row],[% מע"מ]]*טבלה38[[#This Row],[מחיר]]</f>
        <v>0</v>
      </c>
      <c r="I94" s="630">
        <f>טבלה38[[#This Row],[סה"כ]]*טבלה38[[#This Row],[מחיר ליח'' כולל ]]</f>
        <v>0</v>
      </c>
      <c r="J94" s="655">
        <f>SUM(טבלה38[[#This Row],[פימת קפה]:[תוספות]])</f>
        <v>0</v>
      </c>
      <c r="K94" s="655">
        <f>SUMIF(טבלה11517[מקט],טבלה38[[#This Row],[קוד מוצר]],טבלה11517[כמות])</f>
        <v>0</v>
      </c>
      <c r="L94" s="655">
        <f>SUMIF(טבלה115179[מקט],טבלה38[[#This Row],[קוד מוצר]],טבלה115179[כמות])</f>
        <v>0</v>
      </c>
      <c r="M94" s="655">
        <f>SUMIF(טבלה115[מקט],טבלה38[[#This Row],[קוד מוצר]],טבלה115[כמות])</f>
        <v>0</v>
      </c>
      <c r="N94" s="655">
        <f>SUMIF(טבלה1[מק"ט],טבלה38[[#This Row],[קוד מוצר]],טבלה1[כמות])</f>
        <v>0</v>
      </c>
      <c r="O94" s="655">
        <f>SUMIF(טבלה8[מק"ט],טבלה38[[#This Row],[קוד מוצר]],טבלה8[הזמנה])</f>
        <v>0</v>
      </c>
      <c r="P94" s="655">
        <f>SUMIF(טבלה15[מק"ט],טבלה38[[#This Row],[קוד מוצר]],טבלה15[הזמנה])</f>
        <v>0</v>
      </c>
      <c r="Q94" s="655">
        <f>SUMIF(טבלה1151718[מקט],טבלה38[[#This Row],[קוד מוצר]],טבלה1151718[כמות])</f>
        <v>0</v>
      </c>
      <c r="R94" s="655">
        <f>SUMIF(טבלה125[מקט],טבלה38[[#This Row],[קוד מוצר]],טבלה125[כמות])</f>
        <v>0</v>
      </c>
      <c r="S94" s="655">
        <f>SUMIF(טבלה33[מק"ט],טבלה38[[#This Row],[קוד מוצר]],טבלה33[הזמנה])</f>
        <v>0</v>
      </c>
      <c r="T94" s="655">
        <f>SUMIF(טבלה34[עמודה1],טבלה38[[#This Row],[קוד מוצר]],טבלה34[הזמנה])</f>
        <v>0</v>
      </c>
      <c r="U94" s="655">
        <f>SUMIF(טבלה35[עמודה1],טבלה38[[#This Row],[קוד מוצר]],טבלה35[הזמנה])</f>
        <v>0</v>
      </c>
      <c r="V94" s="655">
        <f>SUMIF(טבלה3338[מק"ט],טבלה38[[#This Row],[קוד מוצר]],טבלה3338[הזמנה])</f>
        <v>0</v>
      </c>
      <c r="W94" s="655">
        <f>SUMIF(טבלה3540[עמודה1],טבלה38[[#This Row],[קוד מוצר]],טבלה3540[הזמנה])</f>
        <v>0</v>
      </c>
      <c r="X94" s="655">
        <f>SUMIF(טבלה3441[עמודה1],טבלה38[[#This Row],[קוד מוצר]],טבלה3441[הזמנה])</f>
        <v>0</v>
      </c>
      <c r="Y94" s="655">
        <f>SUMIF(טבלה24[מקט],טבלה38[[#This Row],[קוד מוצר]],טבלה24[כמות])</f>
        <v>0</v>
      </c>
      <c r="Z94" s="655">
        <f>SUMIF(טבלה628[קוד מוצר],טבלה38[[#This Row],[קוד מוצר]],טבלה628[תוספת])</f>
        <v>0</v>
      </c>
      <c r="AA94" s="610">
        <f>טבלה38[[#This Row],[פימת קפה]]*טבלה38[[#This Row],[מחיר ליח'' כולל ]]</f>
        <v>0</v>
      </c>
      <c r="AB94" s="610">
        <f>טבלה38[[#This Row],[פת שחרית]]*טבלה38[[#This Row],[מחיר ליח'' כולל ]]</f>
        <v>0</v>
      </c>
      <c r="AC94" s="610">
        <f>טבלה38[[#This Row],[א. בוקר פריסה]]*טבלה38[[#This Row],[מחיר ליח'' כולל ]]</f>
        <v>0</v>
      </c>
      <c r="AD94" s="666">
        <f>טבלה38[[#This Row],[א. צהררים פריסה ]]*טבלה38[[#This Row],[מחיר ליח'' כולל ]]</f>
        <v>0</v>
      </c>
      <c r="AE94" s="666">
        <f>טבלה38[[#This Row],[בוקר קיטים]]*טבלה38[[#This Row],[מחיר ליח'' כולל ]]</f>
        <v>0</v>
      </c>
      <c r="AF94" s="666">
        <f>טבלה38[[#This Row],[צהריים קיטים]]*טבלה38[[#This Row],[מחיר ליח'' כולל ]]</f>
        <v>0</v>
      </c>
      <c r="AG94" s="666">
        <f>טבלה38[[#This Row],[פריסת אמצע]]*טבלה38[[#This Row],[מחיר ליח'' כולל ]]</f>
        <v>0</v>
      </c>
      <c r="AH94" s="666">
        <f>טבלה38[[#This Row],[מרק]]*טבלה38[[#This Row],[מחיר ליח'' כולל ]]</f>
        <v>0</v>
      </c>
      <c r="AI94" s="666">
        <f>טבלה38[[#This Row],[ערב בישול 1]]*טבלה38[[#This Row],[מחיר ליח'' כולל ]]</f>
        <v>0</v>
      </c>
      <c r="AJ94" s="666">
        <f>טבלה38[[#This Row],[ערב בישול 2]]*טבלה38[[#This Row],[מחיר ליח'' כולל ]]</f>
        <v>0</v>
      </c>
      <c r="AK94" s="666">
        <f>טבלה38[[#This Row],[ערב בישול 3]]*טבלה38[[#This Row],[מחיר ליח'' כולל ]]</f>
        <v>0</v>
      </c>
      <c r="AL94" s="666">
        <f>טבלה38[[#This Row],[ערב קטן 1]]*טבלה38[[#This Row],[מחיר ליח'' כולל ]]</f>
        <v>0</v>
      </c>
      <c r="AM94" s="666">
        <f>טבלה38[[#This Row],[ערב קטן 2]]*טבלה38[[#This Row],[מחיר ליח'' כולל ]]</f>
        <v>0</v>
      </c>
      <c r="AN94" s="666">
        <f>טבלה38[[#This Row],[ערב קטן 3]]*טבלה38[[#This Row],[מחיר ליח'' כולל ]]</f>
        <v>0</v>
      </c>
      <c r="AO94" s="666">
        <f>טבלה38[[#This Row],[קיטים מיוחדים]]*טבלה38[[#This Row],[מחיר ליח'' כולל ]]</f>
        <v>0</v>
      </c>
      <c r="AP94" s="666">
        <f>טבלה38[[#This Row],[תוספות]]*טבלה38[[#This Row],[מחיר ליח'' כולל ]]</f>
        <v>0</v>
      </c>
    </row>
    <row r="95" spans="2:42" ht="14.4">
      <c r="B95" s="651">
        <v>660</v>
      </c>
      <c r="C95" s="650" t="s">
        <v>385</v>
      </c>
      <c r="D95" s="650" t="s">
        <v>602</v>
      </c>
      <c r="E95" s="650"/>
      <c r="F95" s="649" t="str">
        <f>IF(טבלה38[[#This Row],[סה"כ]]&gt;0,טבלה38[[#This Row],[סה"כ]],"")</f>
        <v/>
      </c>
      <c r="G95" s="656">
        <v>0</v>
      </c>
      <c r="H95" s="655">
        <f>טבלה38[[#This Row],[מחיר]]+טבלה38[[#This Row],[% מע"מ]]*טבלה38[[#This Row],[מחיר]]</f>
        <v>0</v>
      </c>
      <c r="I95" s="630">
        <f>טבלה38[[#This Row],[סה"כ]]*טבלה38[[#This Row],[מחיר ליח'' כולל ]]</f>
        <v>0</v>
      </c>
      <c r="J95" s="655">
        <f>SUM(טבלה38[[#This Row],[פימת קפה]:[תוספות]])</f>
        <v>0</v>
      </c>
      <c r="K95" s="655">
        <f>SUMIF(טבלה11517[מקט],טבלה38[[#This Row],[קוד מוצר]],טבלה11517[כמות])</f>
        <v>0</v>
      </c>
      <c r="L95" s="655">
        <f>SUMIF(טבלה115179[מקט],טבלה38[[#This Row],[קוד מוצר]],טבלה115179[כמות])</f>
        <v>0</v>
      </c>
      <c r="M95" s="655">
        <f>SUMIF(טבלה115[מקט],טבלה38[[#This Row],[קוד מוצר]],טבלה115[כמות])</f>
        <v>0</v>
      </c>
      <c r="N95" s="655">
        <f>SUMIF(טבלה1[מק"ט],טבלה38[[#This Row],[קוד מוצר]],טבלה1[כמות])</f>
        <v>0</v>
      </c>
      <c r="O95" s="655">
        <f>SUMIF(טבלה8[מק"ט],טבלה38[[#This Row],[קוד מוצר]],טבלה8[הזמנה])</f>
        <v>0</v>
      </c>
      <c r="P95" s="655">
        <f>SUMIF(טבלה15[מק"ט],טבלה38[[#This Row],[קוד מוצר]],טבלה15[הזמנה])</f>
        <v>0</v>
      </c>
      <c r="Q95" s="655">
        <f>SUMIF(טבלה1151718[מקט],טבלה38[[#This Row],[קוד מוצר]],טבלה1151718[כמות])</f>
        <v>0</v>
      </c>
      <c r="R95" s="655">
        <f>SUMIF(טבלה125[מקט],טבלה38[[#This Row],[קוד מוצר]],טבלה125[כמות])</f>
        <v>0</v>
      </c>
      <c r="S95" s="655">
        <f>SUMIF(טבלה33[מק"ט],טבלה38[[#This Row],[קוד מוצר]],טבלה33[הזמנה])</f>
        <v>0</v>
      </c>
      <c r="T95" s="655">
        <f>SUMIF(טבלה34[עמודה1],טבלה38[[#This Row],[קוד מוצר]],טבלה34[הזמנה])</f>
        <v>0</v>
      </c>
      <c r="U95" s="655">
        <f>SUMIF(טבלה35[עמודה1],טבלה38[[#This Row],[קוד מוצר]],טבלה35[הזמנה])</f>
        <v>0</v>
      </c>
      <c r="V95" s="655">
        <f>SUMIF(טבלה3338[מק"ט],טבלה38[[#This Row],[קוד מוצר]],טבלה3338[הזמנה])</f>
        <v>0</v>
      </c>
      <c r="W95" s="655">
        <f>SUMIF(טבלה3540[עמודה1],טבלה38[[#This Row],[קוד מוצר]],טבלה3540[הזמנה])</f>
        <v>0</v>
      </c>
      <c r="X95" s="655">
        <f>SUMIF(טבלה3441[עמודה1],טבלה38[[#This Row],[קוד מוצר]],טבלה3441[הזמנה])</f>
        <v>0</v>
      </c>
      <c r="Y95" s="655">
        <f>SUMIF(טבלה24[מקט],טבלה38[[#This Row],[קוד מוצר]],טבלה24[כמות])</f>
        <v>0</v>
      </c>
      <c r="Z95" s="655">
        <f>SUMIF(טבלה628[קוד מוצר],טבלה38[[#This Row],[קוד מוצר]],טבלה628[תוספת])</f>
        <v>0</v>
      </c>
      <c r="AA95" s="610">
        <f>טבלה38[[#This Row],[פימת קפה]]*טבלה38[[#This Row],[מחיר ליח'' כולל ]]</f>
        <v>0</v>
      </c>
      <c r="AB95" s="610">
        <f>טבלה38[[#This Row],[פת שחרית]]*טבלה38[[#This Row],[מחיר ליח'' כולל ]]</f>
        <v>0</v>
      </c>
      <c r="AC95" s="610">
        <f>טבלה38[[#This Row],[א. בוקר פריסה]]*טבלה38[[#This Row],[מחיר ליח'' כולל ]]</f>
        <v>0</v>
      </c>
      <c r="AD95" s="666">
        <f>טבלה38[[#This Row],[א. צהררים פריסה ]]*טבלה38[[#This Row],[מחיר ליח'' כולל ]]</f>
        <v>0</v>
      </c>
      <c r="AE95" s="666">
        <f>טבלה38[[#This Row],[בוקר קיטים]]*טבלה38[[#This Row],[מחיר ליח'' כולל ]]</f>
        <v>0</v>
      </c>
      <c r="AF95" s="666">
        <f>טבלה38[[#This Row],[צהריים קיטים]]*טבלה38[[#This Row],[מחיר ליח'' כולל ]]</f>
        <v>0</v>
      </c>
      <c r="AG95" s="666">
        <f>טבלה38[[#This Row],[פריסת אמצע]]*טבלה38[[#This Row],[מחיר ליח'' כולל ]]</f>
        <v>0</v>
      </c>
      <c r="AH95" s="666">
        <f>טבלה38[[#This Row],[מרק]]*טבלה38[[#This Row],[מחיר ליח'' כולל ]]</f>
        <v>0</v>
      </c>
      <c r="AI95" s="666">
        <f>טבלה38[[#This Row],[ערב בישול 1]]*טבלה38[[#This Row],[מחיר ליח'' כולל ]]</f>
        <v>0</v>
      </c>
      <c r="AJ95" s="666">
        <f>טבלה38[[#This Row],[ערב בישול 2]]*טבלה38[[#This Row],[מחיר ליח'' כולל ]]</f>
        <v>0</v>
      </c>
      <c r="AK95" s="666">
        <f>טבלה38[[#This Row],[ערב בישול 3]]*טבלה38[[#This Row],[מחיר ליח'' כולל ]]</f>
        <v>0</v>
      </c>
      <c r="AL95" s="666">
        <f>טבלה38[[#This Row],[ערב קטן 1]]*טבלה38[[#This Row],[מחיר ליח'' כולל ]]</f>
        <v>0</v>
      </c>
      <c r="AM95" s="666">
        <f>טבלה38[[#This Row],[ערב קטן 2]]*טבלה38[[#This Row],[מחיר ליח'' כולל ]]</f>
        <v>0</v>
      </c>
      <c r="AN95" s="666">
        <f>טבלה38[[#This Row],[ערב קטן 3]]*טבלה38[[#This Row],[מחיר ליח'' כולל ]]</f>
        <v>0</v>
      </c>
      <c r="AO95" s="666">
        <f>טבלה38[[#This Row],[קיטים מיוחדים]]*טבלה38[[#This Row],[מחיר ליח'' כולל ]]</f>
        <v>0</v>
      </c>
      <c r="AP95" s="666">
        <f>טבלה38[[#This Row],[תוספות]]*טבלה38[[#This Row],[מחיר ליח'' כולל ]]</f>
        <v>0</v>
      </c>
    </row>
    <row r="96" spans="2:42" ht="14.4">
      <c r="B96" s="651">
        <v>666</v>
      </c>
      <c r="C96" s="650" t="s">
        <v>386</v>
      </c>
      <c r="D96" s="650" t="s">
        <v>8</v>
      </c>
      <c r="E96" s="650"/>
      <c r="F96" s="649" t="str">
        <f>IF(טבלה38[[#This Row],[סה"כ]]&gt;0,טבלה38[[#This Row],[סה"כ]],"")</f>
        <v/>
      </c>
      <c r="G96" s="656">
        <v>0</v>
      </c>
      <c r="H96" s="655">
        <f>טבלה38[[#This Row],[מחיר]]+טבלה38[[#This Row],[% מע"מ]]*טבלה38[[#This Row],[מחיר]]</f>
        <v>0</v>
      </c>
      <c r="I96" s="630">
        <f>טבלה38[[#This Row],[סה"כ]]*טבלה38[[#This Row],[מחיר ליח'' כולל ]]</f>
        <v>0</v>
      </c>
      <c r="J96" s="655">
        <f>SUM(טבלה38[[#This Row],[פימת קפה]:[תוספות]])</f>
        <v>0</v>
      </c>
      <c r="K96" s="655">
        <f>SUMIF(טבלה11517[מקט],טבלה38[[#This Row],[קוד מוצר]],טבלה11517[כמות])</f>
        <v>0</v>
      </c>
      <c r="L96" s="655">
        <f>SUMIF(טבלה115179[מקט],טבלה38[[#This Row],[קוד מוצר]],טבלה115179[כמות])</f>
        <v>0</v>
      </c>
      <c r="M96" s="655">
        <f>SUMIF(טבלה115[מקט],טבלה38[[#This Row],[קוד מוצר]],טבלה115[כמות])</f>
        <v>0</v>
      </c>
      <c r="N96" s="655">
        <f>SUMIF(טבלה1[מק"ט],טבלה38[[#This Row],[קוד מוצר]],טבלה1[כמות])</f>
        <v>0</v>
      </c>
      <c r="O96" s="655">
        <f>SUMIF(טבלה8[מק"ט],טבלה38[[#This Row],[קוד מוצר]],טבלה8[הזמנה])</f>
        <v>0</v>
      </c>
      <c r="P96" s="655">
        <f>SUMIF(טבלה15[מק"ט],טבלה38[[#This Row],[קוד מוצר]],טבלה15[הזמנה])</f>
        <v>0</v>
      </c>
      <c r="Q96" s="655">
        <f>SUMIF(טבלה1151718[מקט],טבלה38[[#This Row],[קוד מוצר]],טבלה1151718[כמות])</f>
        <v>0</v>
      </c>
      <c r="R96" s="655">
        <f>SUMIF(טבלה125[מקט],טבלה38[[#This Row],[קוד מוצר]],טבלה125[כמות])</f>
        <v>0</v>
      </c>
      <c r="S96" s="655">
        <f>SUMIF(טבלה33[מק"ט],טבלה38[[#This Row],[קוד מוצר]],טבלה33[הזמנה])</f>
        <v>0</v>
      </c>
      <c r="T96" s="655">
        <f>SUMIF(טבלה34[עמודה1],טבלה38[[#This Row],[קוד מוצר]],טבלה34[הזמנה])</f>
        <v>0</v>
      </c>
      <c r="U96" s="655">
        <f>SUMIF(טבלה35[עמודה1],טבלה38[[#This Row],[קוד מוצר]],טבלה35[הזמנה])</f>
        <v>0</v>
      </c>
      <c r="V96" s="655">
        <f>SUMIF(טבלה3338[מק"ט],טבלה38[[#This Row],[קוד מוצר]],טבלה3338[הזמנה])</f>
        <v>0</v>
      </c>
      <c r="W96" s="655">
        <f>SUMIF(טבלה3540[עמודה1],טבלה38[[#This Row],[קוד מוצר]],טבלה3540[הזמנה])</f>
        <v>0</v>
      </c>
      <c r="X96" s="655">
        <f>SUMIF(טבלה3441[עמודה1],טבלה38[[#This Row],[קוד מוצר]],טבלה3441[הזמנה])</f>
        <v>0</v>
      </c>
      <c r="Y96" s="655">
        <f>SUMIF(טבלה24[מקט],טבלה38[[#This Row],[קוד מוצר]],טבלה24[כמות])</f>
        <v>0</v>
      </c>
      <c r="Z96" s="655">
        <f>SUMIF(טבלה628[קוד מוצר],טבלה38[[#This Row],[קוד מוצר]],טבלה628[תוספת])</f>
        <v>0</v>
      </c>
      <c r="AA96" s="610">
        <f>טבלה38[[#This Row],[פימת קפה]]*טבלה38[[#This Row],[מחיר ליח'' כולל ]]</f>
        <v>0</v>
      </c>
      <c r="AB96" s="610">
        <f>טבלה38[[#This Row],[פת שחרית]]*טבלה38[[#This Row],[מחיר ליח'' כולל ]]</f>
        <v>0</v>
      </c>
      <c r="AC96" s="610">
        <f>טבלה38[[#This Row],[א. בוקר פריסה]]*טבלה38[[#This Row],[מחיר ליח'' כולל ]]</f>
        <v>0</v>
      </c>
      <c r="AD96" s="666">
        <f>טבלה38[[#This Row],[א. צהררים פריסה ]]*טבלה38[[#This Row],[מחיר ליח'' כולל ]]</f>
        <v>0</v>
      </c>
      <c r="AE96" s="666">
        <f>טבלה38[[#This Row],[בוקר קיטים]]*טבלה38[[#This Row],[מחיר ליח'' כולל ]]</f>
        <v>0</v>
      </c>
      <c r="AF96" s="666">
        <f>טבלה38[[#This Row],[צהריים קיטים]]*טבלה38[[#This Row],[מחיר ליח'' כולל ]]</f>
        <v>0</v>
      </c>
      <c r="AG96" s="666">
        <f>טבלה38[[#This Row],[פריסת אמצע]]*טבלה38[[#This Row],[מחיר ליח'' כולל ]]</f>
        <v>0</v>
      </c>
      <c r="AH96" s="666">
        <f>טבלה38[[#This Row],[מרק]]*טבלה38[[#This Row],[מחיר ליח'' כולל ]]</f>
        <v>0</v>
      </c>
      <c r="AI96" s="666">
        <f>טבלה38[[#This Row],[ערב בישול 1]]*טבלה38[[#This Row],[מחיר ליח'' כולל ]]</f>
        <v>0</v>
      </c>
      <c r="AJ96" s="666">
        <f>טבלה38[[#This Row],[ערב בישול 2]]*טבלה38[[#This Row],[מחיר ליח'' כולל ]]</f>
        <v>0</v>
      </c>
      <c r="AK96" s="666">
        <f>טבלה38[[#This Row],[ערב בישול 3]]*טבלה38[[#This Row],[מחיר ליח'' כולל ]]</f>
        <v>0</v>
      </c>
      <c r="AL96" s="666">
        <f>טבלה38[[#This Row],[ערב קטן 1]]*טבלה38[[#This Row],[מחיר ליח'' כולל ]]</f>
        <v>0</v>
      </c>
      <c r="AM96" s="666">
        <f>טבלה38[[#This Row],[ערב קטן 2]]*טבלה38[[#This Row],[מחיר ליח'' כולל ]]</f>
        <v>0</v>
      </c>
      <c r="AN96" s="666">
        <f>טבלה38[[#This Row],[ערב קטן 3]]*טבלה38[[#This Row],[מחיר ליח'' כולל ]]</f>
        <v>0</v>
      </c>
      <c r="AO96" s="666">
        <f>טבלה38[[#This Row],[קיטים מיוחדים]]*טבלה38[[#This Row],[מחיר ליח'' כולל ]]</f>
        <v>0</v>
      </c>
      <c r="AP96" s="666">
        <f>טבלה38[[#This Row],[תוספות]]*טבלה38[[#This Row],[מחיר ליח'' כולל ]]</f>
        <v>0</v>
      </c>
    </row>
    <row r="97" spans="2:42" ht="14.4">
      <c r="B97" s="651">
        <v>675</v>
      </c>
      <c r="C97" s="650" t="s">
        <v>69</v>
      </c>
      <c r="D97" s="650" t="s">
        <v>8</v>
      </c>
      <c r="E97" s="650"/>
      <c r="F97" s="649" t="str">
        <f>IF(טבלה38[[#This Row],[סה"כ]]&gt;0,טבלה38[[#This Row],[סה"כ]],"")</f>
        <v/>
      </c>
      <c r="G97" s="656">
        <v>0</v>
      </c>
      <c r="H97" s="655">
        <f>טבלה38[[#This Row],[מחיר]]+טבלה38[[#This Row],[% מע"מ]]*טבלה38[[#This Row],[מחיר]]</f>
        <v>0</v>
      </c>
      <c r="I97" s="630">
        <f>טבלה38[[#This Row],[סה"כ]]*טבלה38[[#This Row],[מחיר ליח'' כולל ]]</f>
        <v>0</v>
      </c>
      <c r="J97" s="655">
        <f>SUM(טבלה38[[#This Row],[פימת קפה]:[תוספות]])</f>
        <v>0</v>
      </c>
      <c r="K97" s="655">
        <f>SUMIF(טבלה11517[מקט],טבלה38[[#This Row],[קוד מוצר]],טבלה11517[כמות])</f>
        <v>0</v>
      </c>
      <c r="L97" s="655">
        <f>SUMIF(טבלה115179[מקט],טבלה38[[#This Row],[קוד מוצר]],טבלה115179[כמות])</f>
        <v>0</v>
      </c>
      <c r="M97" s="655">
        <f>SUMIF(טבלה115[מקט],טבלה38[[#This Row],[קוד מוצר]],טבלה115[כמות])</f>
        <v>0</v>
      </c>
      <c r="N97" s="655">
        <f>SUMIF(טבלה1[מק"ט],טבלה38[[#This Row],[קוד מוצר]],טבלה1[כמות])</f>
        <v>0</v>
      </c>
      <c r="O97" s="655">
        <f>SUMIF(טבלה8[מק"ט],טבלה38[[#This Row],[קוד מוצר]],טבלה8[הזמנה])</f>
        <v>0</v>
      </c>
      <c r="P97" s="655">
        <f>SUMIF(טבלה15[מק"ט],טבלה38[[#This Row],[קוד מוצר]],טבלה15[הזמנה])</f>
        <v>0</v>
      </c>
      <c r="Q97" s="655">
        <f>SUMIF(טבלה1151718[מקט],טבלה38[[#This Row],[קוד מוצר]],טבלה1151718[כמות])</f>
        <v>0</v>
      </c>
      <c r="R97" s="655">
        <f>SUMIF(טבלה125[מקט],טבלה38[[#This Row],[קוד מוצר]],טבלה125[כמות])</f>
        <v>0</v>
      </c>
      <c r="S97" s="655">
        <f>SUMIF(טבלה33[מק"ט],טבלה38[[#This Row],[קוד מוצר]],טבלה33[הזמנה])</f>
        <v>0</v>
      </c>
      <c r="T97" s="655">
        <f>SUMIF(טבלה34[עמודה1],טבלה38[[#This Row],[קוד מוצר]],טבלה34[הזמנה])</f>
        <v>0</v>
      </c>
      <c r="U97" s="655">
        <f>SUMIF(טבלה35[עמודה1],טבלה38[[#This Row],[קוד מוצר]],טבלה35[הזמנה])</f>
        <v>0</v>
      </c>
      <c r="V97" s="655">
        <f>SUMIF(טבלה3338[מק"ט],טבלה38[[#This Row],[קוד מוצר]],טבלה3338[הזמנה])</f>
        <v>0</v>
      </c>
      <c r="W97" s="655">
        <f>SUMIF(טבלה3540[עמודה1],טבלה38[[#This Row],[קוד מוצר]],טבלה3540[הזמנה])</f>
        <v>0</v>
      </c>
      <c r="X97" s="655">
        <f>SUMIF(טבלה3441[עמודה1],טבלה38[[#This Row],[קוד מוצר]],טבלה3441[הזמנה])</f>
        <v>0</v>
      </c>
      <c r="Y97" s="655">
        <f>SUMIF(טבלה24[מקט],טבלה38[[#This Row],[קוד מוצר]],טבלה24[כמות])</f>
        <v>0</v>
      </c>
      <c r="Z97" s="655">
        <f>SUMIF(טבלה628[קוד מוצר],טבלה38[[#This Row],[קוד מוצר]],טבלה628[תוספת])</f>
        <v>0</v>
      </c>
      <c r="AA97" s="610">
        <f>טבלה38[[#This Row],[פימת קפה]]*טבלה38[[#This Row],[מחיר ליח'' כולל ]]</f>
        <v>0</v>
      </c>
      <c r="AB97" s="610">
        <f>טבלה38[[#This Row],[פת שחרית]]*טבלה38[[#This Row],[מחיר ליח'' כולל ]]</f>
        <v>0</v>
      </c>
      <c r="AC97" s="610">
        <f>טבלה38[[#This Row],[א. בוקר פריסה]]*טבלה38[[#This Row],[מחיר ליח'' כולל ]]</f>
        <v>0</v>
      </c>
      <c r="AD97" s="666">
        <f>טבלה38[[#This Row],[א. צהררים פריסה ]]*טבלה38[[#This Row],[מחיר ליח'' כולל ]]</f>
        <v>0</v>
      </c>
      <c r="AE97" s="666">
        <f>טבלה38[[#This Row],[בוקר קיטים]]*טבלה38[[#This Row],[מחיר ליח'' כולל ]]</f>
        <v>0</v>
      </c>
      <c r="AF97" s="666">
        <f>טבלה38[[#This Row],[צהריים קיטים]]*טבלה38[[#This Row],[מחיר ליח'' כולל ]]</f>
        <v>0</v>
      </c>
      <c r="AG97" s="666">
        <f>טבלה38[[#This Row],[פריסת אמצע]]*טבלה38[[#This Row],[מחיר ליח'' כולל ]]</f>
        <v>0</v>
      </c>
      <c r="AH97" s="666">
        <f>טבלה38[[#This Row],[מרק]]*טבלה38[[#This Row],[מחיר ליח'' כולל ]]</f>
        <v>0</v>
      </c>
      <c r="AI97" s="666">
        <f>טבלה38[[#This Row],[ערב בישול 1]]*טבלה38[[#This Row],[מחיר ליח'' כולל ]]</f>
        <v>0</v>
      </c>
      <c r="AJ97" s="666">
        <f>טבלה38[[#This Row],[ערב בישול 2]]*טבלה38[[#This Row],[מחיר ליח'' כולל ]]</f>
        <v>0</v>
      </c>
      <c r="AK97" s="666">
        <f>טבלה38[[#This Row],[ערב בישול 3]]*טבלה38[[#This Row],[מחיר ליח'' כולל ]]</f>
        <v>0</v>
      </c>
      <c r="AL97" s="666">
        <f>טבלה38[[#This Row],[ערב קטן 1]]*טבלה38[[#This Row],[מחיר ליח'' כולל ]]</f>
        <v>0</v>
      </c>
      <c r="AM97" s="666">
        <f>טבלה38[[#This Row],[ערב קטן 2]]*טבלה38[[#This Row],[מחיר ליח'' כולל ]]</f>
        <v>0</v>
      </c>
      <c r="AN97" s="666">
        <f>טבלה38[[#This Row],[ערב קטן 3]]*טבלה38[[#This Row],[מחיר ליח'' כולל ]]</f>
        <v>0</v>
      </c>
      <c r="AO97" s="666">
        <f>טבלה38[[#This Row],[קיטים מיוחדים]]*טבלה38[[#This Row],[מחיר ליח'' כולל ]]</f>
        <v>0</v>
      </c>
      <c r="AP97" s="666">
        <f>טבלה38[[#This Row],[תוספות]]*טבלה38[[#This Row],[מחיר ליח'' כולל ]]</f>
        <v>0</v>
      </c>
    </row>
    <row r="98" spans="2:42" ht="14.4">
      <c r="B98" s="651">
        <v>694</v>
      </c>
      <c r="C98" s="650" t="s">
        <v>565</v>
      </c>
      <c r="D98" s="650" t="s">
        <v>602</v>
      </c>
      <c r="E98" s="650"/>
      <c r="F98" s="649" t="str">
        <f>IF(טבלה38[[#This Row],[סה"כ]]&gt;0,טבלה38[[#This Row],[סה"כ]],"")</f>
        <v/>
      </c>
      <c r="G98" s="656">
        <v>0.17</v>
      </c>
      <c r="H98" s="655">
        <f>טבלה38[[#This Row],[מחיר]]+טבלה38[[#This Row],[% מע"מ]]*טבלה38[[#This Row],[מחיר]]</f>
        <v>0</v>
      </c>
      <c r="I98" s="630">
        <f>טבלה38[[#This Row],[סה"כ]]*טבלה38[[#This Row],[מחיר ליח'' כולל ]]</f>
        <v>0</v>
      </c>
      <c r="J98" s="655">
        <f>SUM(טבלה38[[#This Row],[פימת קפה]:[תוספות]])</f>
        <v>0</v>
      </c>
      <c r="K98" s="655">
        <f>SUMIF(טבלה11517[מקט],טבלה38[[#This Row],[קוד מוצר]],טבלה11517[כמות])</f>
        <v>0</v>
      </c>
      <c r="L98" s="655">
        <f>SUMIF(טבלה115179[מקט],טבלה38[[#This Row],[קוד מוצר]],טבלה115179[כמות])</f>
        <v>0</v>
      </c>
      <c r="M98" s="655">
        <f>SUMIF(טבלה115[מקט],טבלה38[[#This Row],[קוד מוצר]],טבלה115[כמות])</f>
        <v>0</v>
      </c>
      <c r="N98" s="655">
        <f>SUMIF(טבלה1[מק"ט],טבלה38[[#This Row],[קוד מוצר]],טבלה1[כמות])</f>
        <v>0</v>
      </c>
      <c r="O98" s="655">
        <f>SUMIF(טבלה8[מק"ט],טבלה38[[#This Row],[קוד מוצר]],טבלה8[הזמנה])</f>
        <v>0</v>
      </c>
      <c r="P98" s="655">
        <f>SUMIF(טבלה15[מק"ט],טבלה38[[#This Row],[קוד מוצר]],טבלה15[הזמנה])</f>
        <v>0</v>
      </c>
      <c r="Q98" s="655">
        <f>SUMIF(טבלה1151718[מקט],טבלה38[[#This Row],[קוד מוצר]],טבלה1151718[כמות])</f>
        <v>0</v>
      </c>
      <c r="R98" s="655">
        <f>SUMIF(טבלה125[מקט],טבלה38[[#This Row],[קוד מוצר]],טבלה125[כמות])</f>
        <v>0</v>
      </c>
      <c r="S98" s="655">
        <f>SUMIF(טבלה33[מק"ט],טבלה38[[#This Row],[קוד מוצר]],טבלה33[הזמנה])</f>
        <v>0</v>
      </c>
      <c r="T98" s="655">
        <f>SUMIF(טבלה34[עמודה1],טבלה38[[#This Row],[קוד מוצר]],טבלה34[הזמנה])</f>
        <v>0</v>
      </c>
      <c r="U98" s="655">
        <f>SUMIF(טבלה35[עמודה1],טבלה38[[#This Row],[קוד מוצר]],טבלה35[הזמנה])</f>
        <v>0</v>
      </c>
      <c r="V98" s="655">
        <f>SUMIF(טבלה3338[מק"ט],טבלה38[[#This Row],[קוד מוצר]],טבלה3338[הזמנה])</f>
        <v>0</v>
      </c>
      <c r="W98" s="655">
        <f>SUMIF(טבלה3540[עמודה1],טבלה38[[#This Row],[קוד מוצר]],טבלה3540[הזמנה])</f>
        <v>0</v>
      </c>
      <c r="X98" s="655">
        <f>SUMIF(טבלה3441[עמודה1],טבלה38[[#This Row],[קוד מוצר]],טבלה3441[הזמנה])</f>
        <v>0</v>
      </c>
      <c r="Y98" s="655">
        <f>SUMIF(טבלה24[מקט],טבלה38[[#This Row],[קוד מוצר]],טבלה24[כמות])</f>
        <v>0</v>
      </c>
      <c r="Z98" s="655">
        <f>SUMIF(טבלה628[קוד מוצר],טבלה38[[#This Row],[קוד מוצר]],טבלה628[תוספת])</f>
        <v>0</v>
      </c>
      <c r="AA98" s="610">
        <f>טבלה38[[#This Row],[פימת קפה]]*טבלה38[[#This Row],[מחיר ליח'' כולל ]]</f>
        <v>0</v>
      </c>
      <c r="AB98" s="610">
        <f>טבלה38[[#This Row],[פת שחרית]]*טבלה38[[#This Row],[מחיר ליח'' כולל ]]</f>
        <v>0</v>
      </c>
      <c r="AC98" s="610">
        <f>טבלה38[[#This Row],[א. בוקר פריסה]]*טבלה38[[#This Row],[מחיר ליח'' כולל ]]</f>
        <v>0</v>
      </c>
      <c r="AD98" s="666">
        <f>טבלה38[[#This Row],[א. צהררים פריסה ]]*טבלה38[[#This Row],[מחיר ליח'' כולל ]]</f>
        <v>0</v>
      </c>
      <c r="AE98" s="666">
        <f>טבלה38[[#This Row],[בוקר קיטים]]*טבלה38[[#This Row],[מחיר ליח'' כולל ]]</f>
        <v>0</v>
      </c>
      <c r="AF98" s="666">
        <f>טבלה38[[#This Row],[צהריים קיטים]]*טבלה38[[#This Row],[מחיר ליח'' כולל ]]</f>
        <v>0</v>
      </c>
      <c r="AG98" s="666">
        <f>טבלה38[[#This Row],[פריסת אמצע]]*טבלה38[[#This Row],[מחיר ליח'' כולל ]]</f>
        <v>0</v>
      </c>
      <c r="AH98" s="666">
        <f>טבלה38[[#This Row],[מרק]]*טבלה38[[#This Row],[מחיר ליח'' כולל ]]</f>
        <v>0</v>
      </c>
      <c r="AI98" s="666">
        <f>טבלה38[[#This Row],[ערב בישול 1]]*טבלה38[[#This Row],[מחיר ליח'' כולל ]]</f>
        <v>0</v>
      </c>
      <c r="AJ98" s="666">
        <f>טבלה38[[#This Row],[ערב בישול 2]]*טבלה38[[#This Row],[מחיר ליח'' כולל ]]</f>
        <v>0</v>
      </c>
      <c r="AK98" s="666">
        <f>טבלה38[[#This Row],[ערב בישול 3]]*טבלה38[[#This Row],[מחיר ליח'' כולל ]]</f>
        <v>0</v>
      </c>
      <c r="AL98" s="666">
        <f>טבלה38[[#This Row],[ערב קטן 1]]*טבלה38[[#This Row],[מחיר ליח'' כולל ]]</f>
        <v>0</v>
      </c>
      <c r="AM98" s="666">
        <f>טבלה38[[#This Row],[ערב קטן 2]]*טבלה38[[#This Row],[מחיר ליח'' כולל ]]</f>
        <v>0</v>
      </c>
      <c r="AN98" s="666">
        <f>טבלה38[[#This Row],[ערב קטן 3]]*טבלה38[[#This Row],[מחיר ליח'' כולל ]]</f>
        <v>0</v>
      </c>
      <c r="AO98" s="666">
        <f>טבלה38[[#This Row],[קיטים מיוחדים]]*טבלה38[[#This Row],[מחיר ליח'' כולל ]]</f>
        <v>0</v>
      </c>
      <c r="AP98" s="666">
        <f>טבלה38[[#This Row],[תוספות]]*טבלה38[[#This Row],[מחיר ליח'' כולל ]]</f>
        <v>0</v>
      </c>
    </row>
    <row r="99" spans="2:42" ht="14.4">
      <c r="B99" s="651">
        <v>761</v>
      </c>
      <c r="C99" s="650" t="s">
        <v>1052</v>
      </c>
      <c r="D99" s="650" t="s">
        <v>602</v>
      </c>
      <c r="E99" s="650"/>
      <c r="F99" s="649" t="str">
        <f>IF(טבלה38[[#This Row],[סה"כ]]&gt;0,טבלה38[[#This Row],[סה"כ]],"")</f>
        <v/>
      </c>
      <c r="G99" s="656">
        <v>0.17</v>
      </c>
      <c r="H99" s="655">
        <f>טבלה38[[#This Row],[מחיר]]+טבלה38[[#This Row],[% מע"מ]]*טבלה38[[#This Row],[מחיר]]</f>
        <v>0</v>
      </c>
      <c r="I99" s="630">
        <f>טבלה38[[#This Row],[סה"כ]]*טבלה38[[#This Row],[מחיר ליח'' כולל ]]</f>
        <v>0</v>
      </c>
      <c r="J99" s="655">
        <f>SUM(טבלה38[[#This Row],[פימת קפה]:[תוספות]])</f>
        <v>0</v>
      </c>
      <c r="K99" s="655">
        <f>SUMIF(טבלה11517[מקט],טבלה38[[#This Row],[קוד מוצר]],טבלה11517[כמות])</f>
        <v>0</v>
      </c>
      <c r="L99" s="655">
        <f>SUMIF(טבלה115179[מקט],טבלה38[[#This Row],[קוד מוצר]],טבלה115179[כמות])</f>
        <v>0</v>
      </c>
      <c r="M99" s="655">
        <f>SUMIF(טבלה115[מקט],טבלה38[[#This Row],[קוד מוצר]],טבלה115[כמות])</f>
        <v>0</v>
      </c>
      <c r="N99" s="655">
        <f>SUMIF(טבלה1[מק"ט],טבלה38[[#This Row],[קוד מוצר]],טבלה1[כמות])</f>
        <v>0</v>
      </c>
      <c r="O99" s="655">
        <f>SUMIF(טבלה8[מק"ט],טבלה38[[#This Row],[קוד מוצר]],טבלה8[הזמנה])</f>
        <v>0</v>
      </c>
      <c r="P99" s="655">
        <f>SUMIF(טבלה15[מק"ט],טבלה38[[#This Row],[קוד מוצר]],טבלה15[הזמנה])</f>
        <v>0</v>
      </c>
      <c r="Q99" s="655">
        <f>SUMIF(טבלה1151718[מקט],טבלה38[[#This Row],[קוד מוצר]],טבלה1151718[כמות])</f>
        <v>0</v>
      </c>
      <c r="R99" s="655">
        <f>SUMIF(טבלה125[מקט],טבלה38[[#This Row],[קוד מוצר]],טבלה125[כמות])</f>
        <v>0</v>
      </c>
      <c r="S99" s="655">
        <f>SUMIF(טבלה33[מק"ט],טבלה38[[#This Row],[קוד מוצר]],טבלה33[הזמנה])</f>
        <v>0</v>
      </c>
      <c r="T99" s="655">
        <f>SUMIF(טבלה34[עמודה1],טבלה38[[#This Row],[קוד מוצר]],טבלה34[הזמנה])</f>
        <v>0</v>
      </c>
      <c r="U99" s="655">
        <f>SUMIF(טבלה35[עמודה1],טבלה38[[#This Row],[קוד מוצר]],טבלה35[הזמנה])</f>
        <v>0</v>
      </c>
      <c r="V99" s="655">
        <f>SUMIF(טבלה3338[מק"ט],טבלה38[[#This Row],[קוד מוצר]],טבלה3338[הזמנה])</f>
        <v>0</v>
      </c>
      <c r="W99" s="655">
        <f>SUMIF(טבלה3540[עמודה1],טבלה38[[#This Row],[קוד מוצר]],טבלה3540[הזמנה])</f>
        <v>0</v>
      </c>
      <c r="X99" s="655">
        <f>SUMIF(טבלה3441[עמודה1],טבלה38[[#This Row],[קוד מוצר]],טבלה3441[הזמנה])</f>
        <v>0</v>
      </c>
      <c r="Y99" s="655">
        <f>SUMIF(טבלה24[מקט],טבלה38[[#This Row],[קוד מוצר]],טבלה24[כמות])</f>
        <v>0</v>
      </c>
      <c r="Z99" s="655">
        <f>SUMIF(טבלה628[קוד מוצר],טבלה38[[#This Row],[קוד מוצר]],טבלה628[תוספת])</f>
        <v>0</v>
      </c>
      <c r="AA99" s="610">
        <f>טבלה38[[#This Row],[פימת קפה]]*טבלה38[[#This Row],[מחיר ליח'' כולל ]]</f>
        <v>0</v>
      </c>
      <c r="AB99" s="610">
        <f>טבלה38[[#This Row],[פת שחרית]]*טבלה38[[#This Row],[מחיר ליח'' כולל ]]</f>
        <v>0</v>
      </c>
      <c r="AC99" s="610">
        <f>טבלה38[[#This Row],[א. בוקר פריסה]]*טבלה38[[#This Row],[מחיר ליח'' כולל ]]</f>
        <v>0</v>
      </c>
      <c r="AD99" s="666">
        <f>טבלה38[[#This Row],[א. צהררים פריסה ]]*טבלה38[[#This Row],[מחיר ליח'' כולל ]]</f>
        <v>0</v>
      </c>
      <c r="AE99" s="666">
        <f>טבלה38[[#This Row],[בוקר קיטים]]*טבלה38[[#This Row],[מחיר ליח'' כולל ]]</f>
        <v>0</v>
      </c>
      <c r="AF99" s="666">
        <f>טבלה38[[#This Row],[צהריים קיטים]]*טבלה38[[#This Row],[מחיר ליח'' כולל ]]</f>
        <v>0</v>
      </c>
      <c r="AG99" s="666">
        <f>טבלה38[[#This Row],[פריסת אמצע]]*טבלה38[[#This Row],[מחיר ליח'' כולל ]]</f>
        <v>0</v>
      </c>
      <c r="AH99" s="666">
        <f>טבלה38[[#This Row],[מרק]]*טבלה38[[#This Row],[מחיר ליח'' כולל ]]</f>
        <v>0</v>
      </c>
      <c r="AI99" s="666">
        <f>טבלה38[[#This Row],[ערב בישול 1]]*טבלה38[[#This Row],[מחיר ליח'' כולל ]]</f>
        <v>0</v>
      </c>
      <c r="AJ99" s="666">
        <f>טבלה38[[#This Row],[ערב בישול 2]]*טבלה38[[#This Row],[מחיר ליח'' כולל ]]</f>
        <v>0</v>
      </c>
      <c r="AK99" s="666">
        <f>טבלה38[[#This Row],[ערב בישול 3]]*טבלה38[[#This Row],[מחיר ליח'' כולל ]]</f>
        <v>0</v>
      </c>
      <c r="AL99" s="666">
        <f>טבלה38[[#This Row],[ערב קטן 1]]*טבלה38[[#This Row],[מחיר ליח'' כולל ]]</f>
        <v>0</v>
      </c>
      <c r="AM99" s="666">
        <f>טבלה38[[#This Row],[ערב קטן 2]]*טבלה38[[#This Row],[מחיר ליח'' כולל ]]</f>
        <v>0</v>
      </c>
      <c r="AN99" s="666">
        <f>טבלה38[[#This Row],[ערב קטן 3]]*טבלה38[[#This Row],[מחיר ליח'' כולל ]]</f>
        <v>0</v>
      </c>
      <c r="AO99" s="666">
        <f>טבלה38[[#This Row],[קיטים מיוחדים]]*טבלה38[[#This Row],[מחיר ליח'' כולל ]]</f>
        <v>0</v>
      </c>
      <c r="AP99" s="666">
        <f>טבלה38[[#This Row],[תוספות]]*טבלה38[[#This Row],[מחיר ליח'' כולל ]]</f>
        <v>0</v>
      </c>
    </row>
    <row r="100" spans="2:42" ht="14.4">
      <c r="B100" s="651">
        <v>770</v>
      </c>
      <c r="C100" s="650" t="s">
        <v>391</v>
      </c>
      <c r="D100" s="650" t="s">
        <v>8</v>
      </c>
      <c r="E100" s="650"/>
      <c r="F100" s="649" t="str">
        <f>IF(טבלה38[[#This Row],[סה"כ]]&gt;0,טבלה38[[#This Row],[סה"כ]],"")</f>
        <v/>
      </c>
      <c r="G100" s="656">
        <v>0</v>
      </c>
      <c r="H100" s="655">
        <f>טבלה38[[#This Row],[מחיר]]+טבלה38[[#This Row],[% מע"מ]]*טבלה38[[#This Row],[מחיר]]</f>
        <v>0</v>
      </c>
      <c r="I100" s="630">
        <f>טבלה38[[#This Row],[סה"כ]]*טבלה38[[#This Row],[מחיר ליח'' כולל ]]</f>
        <v>0</v>
      </c>
      <c r="J100" s="655">
        <f>SUM(טבלה38[[#This Row],[פימת קפה]:[תוספות]])</f>
        <v>0</v>
      </c>
      <c r="K100" s="655">
        <f>SUMIF(טבלה11517[מקט],טבלה38[[#This Row],[קוד מוצר]],טבלה11517[כמות])</f>
        <v>0</v>
      </c>
      <c r="L100" s="655">
        <f>SUMIF(טבלה115179[מקט],טבלה38[[#This Row],[קוד מוצר]],טבלה115179[כמות])</f>
        <v>0</v>
      </c>
      <c r="M100" s="655">
        <f>SUMIF(טבלה115[מקט],טבלה38[[#This Row],[קוד מוצר]],טבלה115[כמות])</f>
        <v>0</v>
      </c>
      <c r="N100" s="655">
        <f>SUMIF(טבלה1[מק"ט],טבלה38[[#This Row],[קוד מוצר]],טבלה1[כמות])</f>
        <v>0</v>
      </c>
      <c r="O100" s="655">
        <f>SUMIF(טבלה8[מק"ט],טבלה38[[#This Row],[קוד מוצר]],טבלה8[הזמנה])</f>
        <v>0</v>
      </c>
      <c r="P100" s="655">
        <f>SUMIF(טבלה15[מק"ט],טבלה38[[#This Row],[קוד מוצר]],טבלה15[הזמנה])</f>
        <v>0</v>
      </c>
      <c r="Q100" s="655">
        <f>SUMIF(טבלה1151718[מקט],טבלה38[[#This Row],[קוד מוצר]],טבלה1151718[כמות])</f>
        <v>0</v>
      </c>
      <c r="R100" s="655">
        <f>SUMIF(טבלה125[מקט],טבלה38[[#This Row],[קוד מוצר]],טבלה125[כמות])</f>
        <v>0</v>
      </c>
      <c r="S100" s="655">
        <f>SUMIF(טבלה33[מק"ט],טבלה38[[#This Row],[קוד מוצר]],טבלה33[הזמנה])</f>
        <v>0</v>
      </c>
      <c r="T100" s="655">
        <f>SUMIF(טבלה34[עמודה1],טבלה38[[#This Row],[קוד מוצר]],טבלה34[הזמנה])</f>
        <v>0</v>
      </c>
      <c r="U100" s="655">
        <f>SUMIF(טבלה35[עמודה1],טבלה38[[#This Row],[קוד מוצר]],טבלה35[הזמנה])</f>
        <v>0</v>
      </c>
      <c r="V100" s="655">
        <f>SUMIF(טבלה3338[מק"ט],טבלה38[[#This Row],[קוד מוצר]],טבלה3338[הזמנה])</f>
        <v>0</v>
      </c>
      <c r="W100" s="655">
        <f>SUMIF(טבלה3540[עמודה1],טבלה38[[#This Row],[קוד מוצר]],טבלה3540[הזמנה])</f>
        <v>0</v>
      </c>
      <c r="X100" s="655">
        <f>SUMIF(טבלה3441[עמודה1],טבלה38[[#This Row],[קוד מוצר]],טבלה3441[הזמנה])</f>
        <v>0</v>
      </c>
      <c r="Y100" s="655">
        <f>SUMIF(טבלה24[מקט],טבלה38[[#This Row],[קוד מוצר]],טבלה24[כמות])</f>
        <v>0</v>
      </c>
      <c r="Z100" s="655">
        <f>SUMIF(טבלה628[קוד מוצר],טבלה38[[#This Row],[קוד מוצר]],טבלה628[תוספת])</f>
        <v>0</v>
      </c>
      <c r="AA100" s="610">
        <f>טבלה38[[#This Row],[פימת קפה]]*טבלה38[[#This Row],[מחיר ליח'' כולל ]]</f>
        <v>0</v>
      </c>
      <c r="AB100" s="610">
        <f>טבלה38[[#This Row],[פת שחרית]]*טבלה38[[#This Row],[מחיר ליח'' כולל ]]</f>
        <v>0</v>
      </c>
      <c r="AC100" s="610">
        <f>טבלה38[[#This Row],[א. בוקר פריסה]]*טבלה38[[#This Row],[מחיר ליח'' כולל ]]</f>
        <v>0</v>
      </c>
      <c r="AD100" s="666">
        <f>טבלה38[[#This Row],[א. צהררים פריסה ]]*טבלה38[[#This Row],[מחיר ליח'' כולל ]]</f>
        <v>0</v>
      </c>
      <c r="AE100" s="666">
        <f>טבלה38[[#This Row],[בוקר קיטים]]*טבלה38[[#This Row],[מחיר ליח'' כולל ]]</f>
        <v>0</v>
      </c>
      <c r="AF100" s="666">
        <f>טבלה38[[#This Row],[צהריים קיטים]]*טבלה38[[#This Row],[מחיר ליח'' כולל ]]</f>
        <v>0</v>
      </c>
      <c r="AG100" s="666">
        <f>טבלה38[[#This Row],[פריסת אמצע]]*טבלה38[[#This Row],[מחיר ליח'' כולל ]]</f>
        <v>0</v>
      </c>
      <c r="AH100" s="666">
        <f>טבלה38[[#This Row],[מרק]]*טבלה38[[#This Row],[מחיר ליח'' כולל ]]</f>
        <v>0</v>
      </c>
      <c r="AI100" s="666">
        <f>טבלה38[[#This Row],[ערב בישול 1]]*טבלה38[[#This Row],[מחיר ליח'' כולל ]]</f>
        <v>0</v>
      </c>
      <c r="AJ100" s="666">
        <f>טבלה38[[#This Row],[ערב בישול 2]]*טבלה38[[#This Row],[מחיר ליח'' כולל ]]</f>
        <v>0</v>
      </c>
      <c r="AK100" s="666">
        <f>טבלה38[[#This Row],[ערב בישול 3]]*טבלה38[[#This Row],[מחיר ליח'' כולל ]]</f>
        <v>0</v>
      </c>
      <c r="AL100" s="666">
        <f>טבלה38[[#This Row],[ערב קטן 1]]*טבלה38[[#This Row],[מחיר ליח'' כולל ]]</f>
        <v>0</v>
      </c>
      <c r="AM100" s="666">
        <f>טבלה38[[#This Row],[ערב קטן 2]]*טבלה38[[#This Row],[מחיר ליח'' כולל ]]</f>
        <v>0</v>
      </c>
      <c r="AN100" s="666">
        <f>טבלה38[[#This Row],[ערב קטן 3]]*טבלה38[[#This Row],[מחיר ליח'' כולל ]]</f>
        <v>0</v>
      </c>
      <c r="AO100" s="666">
        <f>טבלה38[[#This Row],[קיטים מיוחדים]]*טבלה38[[#This Row],[מחיר ליח'' כולל ]]</f>
        <v>0</v>
      </c>
      <c r="AP100" s="666">
        <f>טבלה38[[#This Row],[תוספות]]*טבלה38[[#This Row],[מחיר ליח'' כולל ]]</f>
        <v>0</v>
      </c>
    </row>
    <row r="101" spans="2:42" ht="14.4">
      <c r="B101" s="651">
        <v>784</v>
      </c>
      <c r="C101" s="650" t="s">
        <v>946</v>
      </c>
      <c r="D101" s="650" t="s">
        <v>602</v>
      </c>
      <c r="E101" s="650"/>
      <c r="F101" s="649" t="str">
        <f>IF(טבלה38[[#This Row],[סה"כ]]&gt;0,טבלה38[[#This Row],[סה"כ]],"")</f>
        <v/>
      </c>
      <c r="G101" s="656">
        <v>0.17</v>
      </c>
      <c r="H101" s="655">
        <f>טבלה38[[#This Row],[מחיר]]+טבלה38[[#This Row],[% מע"מ]]*טבלה38[[#This Row],[מחיר]]</f>
        <v>0</v>
      </c>
      <c r="I101" s="630">
        <f>טבלה38[[#This Row],[סה"כ]]*טבלה38[[#This Row],[מחיר ליח'' כולל ]]</f>
        <v>0</v>
      </c>
      <c r="J101" s="655">
        <f>SUM(טבלה38[[#This Row],[פימת קפה]:[תוספות]])</f>
        <v>0</v>
      </c>
      <c r="K101" s="655">
        <f>SUMIF(טבלה11517[מקט],טבלה38[[#This Row],[קוד מוצר]],טבלה11517[כמות])</f>
        <v>0</v>
      </c>
      <c r="L101" s="655">
        <f>SUMIF(טבלה115179[מקט],טבלה38[[#This Row],[קוד מוצר]],טבלה115179[כמות])</f>
        <v>0</v>
      </c>
      <c r="M101" s="655">
        <f>SUMIF(טבלה115[מקט],טבלה38[[#This Row],[קוד מוצר]],טבלה115[כמות])</f>
        <v>0</v>
      </c>
      <c r="N101" s="655">
        <f>SUMIF(טבלה1[מק"ט],טבלה38[[#This Row],[קוד מוצר]],טבלה1[כמות])</f>
        <v>0</v>
      </c>
      <c r="O101" s="655">
        <f>SUMIF(טבלה8[מק"ט],טבלה38[[#This Row],[קוד מוצר]],טבלה8[הזמנה])</f>
        <v>0</v>
      </c>
      <c r="P101" s="655">
        <f>SUMIF(טבלה15[מק"ט],טבלה38[[#This Row],[קוד מוצר]],טבלה15[הזמנה])</f>
        <v>0</v>
      </c>
      <c r="Q101" s="655">
        <f>SUMIF(טבלה1151718[מקט],טבלה38[[#This Row],[קוד מוצר]],טבלה1151718[כמות])</f>
        <v>0</v>
      </c>
      <c r="R101" s="655">
        <f>SUMIF(טבלה125[מקט],טבלה38[[#This Row],[קוד מוצר]],טבלה125[כמות])</f>
        <v>0</v>
      </c>
      <c r="S101" s="655">
        <f>SUMIF(טבלה33[מק"ט],טבלה38[[#This Row],[קוד מוצר]],טבלה33[הזמנה])</f>
        <v>0</v>
      </c>
      <c r="T101" s="655">
        <f>SUMIF(טבלה34[עמודה1],טבלה38[[#This Row],[קוד מוצר]],טבלה34[הזמנה])</f>
        <v>0</v>
      </c>
      <c r="U101" s="655">
        <f>SUMIF(טבלה35[עמודה1],טבלה38[[#This Row],[קוד מוצר]],טבלה35[הזמנה])</f>
        <v>0</v>
      </c>
      <c r="V101" s="655">
        <f>SUMIF(טבלה3338[מק"ט],טבלה38[[#This Row],[קוד מוצר]],טבלה3338[הזמנה])</f>
        <v>0</v>
      </c>
      <c r="W101" s="655">
        <f>SUMIF(טבלה3540[עמודה1],טבלה38[[#This Row],[קוד מוצר]],טבלה3540[הזמנה])</f>
        <v>0</v>
      </c>
      <c r="X101" s="655">
        <f>SUMIF(טבלה3441[עמודה1],טבלה38[[#This Row],[קוד מוצר]],טבלה3441[הזמנה])</f>
        <v>0</v>
      </c>
      <c r="Y101" s="655">
        <f>SUMIF(טבלה24[מקט],טבלה38[[#This Row],[קוד מוצר]],טבלה24[כמות])</f>
        <v>0</v>
      </c>
      <c r="Z101" s="655">
        <f>SUMIF(טבלה628[קוד מוצר],טבלה38[[#This Row],[קוד מוצר]],טבלה628[תוספת])</f>
        <v>0</v>
      </c>
      <c r="AA101" s="610">
        <f>טבלה38[[#This Row],[פימת קפה]]*טבלה38[[#This Row],[מחיר ליח'' כולל ]]</f>
        <v>0</v>
      </c>
      <c r="AB101" s="610">
        <f>טבלה38[[#This Row],[פת שחרית]]*טבלה38[[#This Row],[מחיר ליח'' כולל ]]</f>
        <v>0</v>
      </c>
      <c r="AC101" s="610">
        <f>טבלה38[[#This Row],[א. בוקר פריסה]]*טבלה38[[#This Row],[מחיר ליח'' כולל ]]</f>
        <v>0</v>
      </c>
      <c r="AD101" s="666">
        <f>טבלה38[[#This Row],[א. צהררים פריסה ]]*טבלה38[[#This Row],[מחיר ליח'' כולל ]]</f>
        <v>0</v>
      </c>
      <c r="AE101" s="666">
        <f>טבלה38[[#This Row],[בוקר קיטים]]*טבלה38[[#This Row],[מחיר ליח'' כולל ]]</f>
        <v>0</v>
      </c>
      <c r="AF101" s="666">
        <f>טבלה38[[#This Row],[צהריים קיטים]]*טבלה38[[#This Row],[מחיר ליח'' כולל ]]</f>
        <v>0</v>
      </c>
      <c r="AG101" s="666">
        <f>טבלה38[[#This Row],[פריסת אמצע]]*טבלה38[[#This Row],[מחיר ליח'' כולל ]]</f>
        <v>0</v>
      </c>
      <c r="AH101" s="666">
        <f>טבלה38[[#This Row],[מרק]]*טבלה38[[#This Row],[מחיר ליח'' כולל ]]</f>
        <v>0</v>
      </c>
      <c r="AI101" s="666">
        <f>טבלה38[[#This Row],[ערב בישול 1]]*טבלה38[[#This Row],[מחיר ליח'' כולל ]]</f>
        <v>0</v>
      </c>
      <c r="AJ101" s="666">
        <f>טבלה38[[#This Row],[ערב בישול 2]]*טבלה38[[#This Row],[מחיר ליח'' כולל ]]</f>
        <v>0</v>
      </c>
      <c r="AK101" s="666">
        <f>טבלה38[[#This Row],[ערב בישול 3]]*טבלה38[[#This Row],[מחיר ליח'' כולל ]]</f>
        <v>0</v>
      </c>
      <c r="AL101" s="666">
        <f>טבלה38[[#This Row],[ערב קטן 1]]*טבלה38[[#This Row],[מחיר ליח'' כולל ]]</f>
        <v>0</v>
      </c>
      <c r="AM101" s="666">
        <f>טבלה38[[#This Row],[ערב קטן 2]]*טבלה38[[#This Row],[מחיר ליח'' כולל ]]</f>
        <v>0</v>
      </c>
      <c r="AN101" s="666">
        <f>טבלה38[[#This Row],[ערב קטן 3]]*טבלה38[[#This Row],[מחיר ליח'' כולל ]]</f>
        <v>0</v>
      </c>
      <c r="AO101" s="666">
        <f>טבלה38[[#This Row],[קיטים מיוחדים]]*טבלה38[[#This Row],[מחיר ליח'' כולל ]]</f>
        <v>0</v>
      </c>
      <c r="AP101" s="666">
        <f>טבלה38[[#This Row],[תוספות]]*טבלה38[[#This Row],[מחיר ליח'' כולל ]]</f>
        <v>0</v>
      </c>
    </row>
    <row r="102" spans="2:42" ht="14.4">
      <c r="B102" s="651">
        <v>811</v>
      </c>
      <c r="C102" s="650" t="s">
        <v>1044</v>
      </c>
      <c r="D102" s="650" t="s">
        <v>602</v>
      </c>
      <c r="E102" s="650"/>
      <c r="F102" s="649" t="str">
        <f>IF(טבלה38[[#This Row],[סה"כ]]&gt;0,טבלה38[[#This Row],[סה"כ]],"")</f>
        <v/>
      </c>
      <c r="G102" s="656">
        <v>0.17</v>
      </c>
      <c r="H102" s="655">
        <f>טבלה38[[#This Row],[מחיר]]+טבלה38[[#This Row],[% מע"מ]]*טבלה38[[#This Row],[מחיר]]</f>
        <v>0</v>
      </c>
      <c r="I102" s="630">
        <f>טבלה38[[#This Row],[סה"כ]]*טבלה38[[#This Row],[מחיר ליח'' כולל ]]</f>
        <v>0</v>
      </c>
      <c r="J102" s="655">
        <f>SUM(טבלה38[[#This Row],[פימת קפה]:[תוספות]])</f>
        <v>0</v>
      </c>
      <c r="K102" s="655">
        <f>SUMIF(טבלה11517[מקט],טבלה38[[#This Row],[קוד מוצר]],טבלה11517[כמות])</f>
        <v>0</v>
      </c>
      <c r="L102" s="655">
        <f>SUMIF(טבלה115179[מקט],טבלה38[[#This Row],[קוד מוצר]],טבלה115179[כמות])</f>
        <v>0</v>
      </c>
      <c r="M102" s="655">
        <f>SUMIF(טבלה115[מקט],טבלה38[[#This Row],[קוד מוצר]],טבלה115[כמות])</f>
        <v>0</v>
      </c>
      <c r="N102" s="655">
        <f>SUMIF(טבלה1[מק"ט],טבלה38[[#This Row],[קוד מוצר]],טבלה1[כמות])</f>
        <v>0</v>
      </c>
      <c r="O102" s="655">
        <f>SUMIF(טבלה8[מק"ט],טבלה38[[#This Row],[קוד מוצר]],טבלה8[הזמנה])</f>
        <v>0</v>
      </c>
      <c r="P102" s="655">
        <f>SUMIF(טבלה15[מק"ט],טבלה38[[#This Row],[קוד מוצר]],טבלה15[הזמנה])</f>
        <v>0</v>
      </c>
      <c r="Q102" s="655">
        <f>SUMIF(טבלה1151718[מקט],טבלה38[[#This Row],[קוד מוצר]],טבלה1151718[כמות])</f>
        <v>0</v>
      </c>
      <c r="R102" s="655">
        <f>SUMIF(טבלה125[מקט],טבלה38[[#This Row],[קוד מוצר]],טבלה125[כמות])</f>
        <v>0</v>
      </c>
      <c r="S102" s="655">
        <f>SUMIF(טבלה33[מק"ט],טבלה38[[#This Row],[קוד מוצר]],טבלה33[הזמנה])</f>
        <v>0</v>
      </c>
      <c r="T102" s="655">
        <f>SUMIF(טבלה34[עמודה1],טבלה38[[#This Row],[קוד מוצר]],טבלה34[הזמנה])</f>
        <v>0</v>
      </c>
      <c r="U102" s="655">
        <f>SUMIF(טבלה35[עמודה1],טבלה38[[#This Row],[קוד מוצר]],טבלה35[הזמנה])</f>
        <v>0</v>
      </c>
      <c r="V102" s="655">
        <f>SUMIF(טבלה3338[מק"ט],טבלה38[[#This Row],[קוד מוצר]],טבלה3338[הזמנה])</f>
        <v>0</v>
      </c>
      <c r="W102" s="655">
        <f>SUMIF(טבלה3540[עמודה1],טבלה38[[#This Row],[קוד מוצר]],טבלה3540[הזמנה])</f>
        <v>0</v>
      </c>
      <c r="X102" s="655">
        <f>SUMIF(טבלה3441[עמודה1],טבלה38[[#This Row],[קוד מוצר]],טבלה3441[הזמנה])</f>
        <v>0</v>
      </c>
      <c r="Y102" s="655">
        <f>SUMIF(טבלה24[מקט],טבלה38[[#This Row],[קוד מוצר]],טבלה24[כמות])</f>
        <v>0</v>
      </c>
      <c r="Z102" s="655">
        <f>SUMIF(טבלה628[קוד מוצר],טבלה38[[#This Row],[קוד מוצר]],טבלה628[תוספת])</f>
        <v>0</v>
      </c>
      <c r="AA102" s="610">
        <f>טבלה38[[#This Row],[פימת קפה]]*טבלה38[[#This Row],[מחיר ליח'' כולל ]]</f>
        <v>0</v>
      </c>
      <c r="AB102" s="610">
        <f>טבלה38[[#This Row],[פת שחרית]]*טבלה38[[#This Row],[מחיר ליח'' כולל ]]</f>
        <v>0</v>
      </c>
      <c r="AC102" s="610">
        <f>טבלה38[[#This Row],[א. בוקר פריסה]]*טבלה38[[#This Row],[מחיר ליח'' כולל ]]</f>
        <v>0</v>
      </c>
      <c r="AD102" s="666">
        <f>טבלה38[[#This Row],[א. צהררים פריסה ]]*טבלה38[[#This Row],[מחיר ליח'' כולל ]]</f>
        <v>0</v>
      </c>
      <c r="AE102" s="666">
        <f>טבלה38[[#This Row],[בוקר קיטים]]*טבלה38[[#This Row],[מחיר ליח'' כולל ]]</f>
        <v>0</v>
      </c>
      <c r="AF102" s="666">
        <f>טבלה38[[#This Row],[צהריים קיטים]]*טבלה38[[#This Row],[מחיר ליח'' כולל ]]</f>
        <v>0</v>
      </c>
      <c r="AG102" s="666">
        <f>טבלה38[[#This Row],[פריסת אמצע]]*טבלה38[[#This Row],[מחיר ליח'' כולל ]]</f>
        <v>0</v>
      </c>
      <c r="AH102" s="666">
        <f>טבלה38[[#This Row],[מרק]]*טבלה38[[#This Row],[מחיר ליח'' כולל ]]</f>
        <v>0</v>
      </c>
      <c r="AI102" s="666">
        <f>טבלה38[[#This Row],[ערב בישול 1]]*טבלה38[[#This Row],[מחיר ליח'' כולל ]]</f>
        <v>0</v>
      </c>
      <c r="AJ102" s="666">
        <f>טבלה38[[#This Row],[ערב בישול 2]]*טבלה38[[#This Row],[מחיר ליח'' כולל ]]</f>
        <v>0</v>
      </c>
      <c r="AK102" s="666">
        <f>טבלה38[[#This Row],[ערב בישול 3]]*טבלה38[[#This Row],[מחיר ליח'' כולל ]]</f>
        <v>0</v>
      </c>
      <c r="AL102" s="666">
        <f>טבלה38[[#This Row],[ערב קטן 1]]*טבלה38[[#This Row],[מחיר ליח'' כולל ]]</f>
        <v>0</v>
      </c>
      <c r="AM102" s="666">
        <f>טבלה38[[#This Row],[ערב קטן 2]]*טבלה38[[#This Row],[מחיר ליח'' כולל ]]</f>
        <v>0</v>
      </c>
      <c r="AN102" s="666">
        <f>טבלה38[[#This Row],[ערב קטן 3]]*טבלה38[[#This Row],[מחיר ליח'' כולל ]]</f>
        <v>0</v>
      </c>
      <c r="AO102" s="666">
        <f>טבלה38[[#This Row],[קיטים מיוחדים]]*טבלה38[[#This Row],[מחיר ליח'' כולל ]]</f>
        <v>0</v>
      </c>
      <c r="AP102" s="666">
        <f>טבלה38[[#This Row],[תוספות]]*טבלה38[[#This Row],[מחיר ליח'' כולל ]]</f>
        <v>0</v>
      </c>
    </row>
    <row r="103" spans="2:42" ht="14.4">
      <c r="B103" s="651">
        <v>863</v>
      </c>
      <c r="C103" s="650" t="s">
        <v>392</v>
      </c>
      <c r="D103" s="650" t="s">
        <v>8</v>
      </c>
      <c r="E103" s="650"/>
      <c r="F103" s="649" t="str">
        <f>IF(טבלה38[[#This Row],[סה"כ]]&gt;0,טבלה38[[#This Row],[סה"כ]],"")</f>
        <v/>
      </c>
      <c r="G103" s="656">
        <v>0</v>
      </c>
      <c r="H103" s="655">
        <f>טבלה38[[#This Row],[מחיר]]+טבלה38[[#This Row],[% מע"מ]]*טבלה38[[#This Row],[מחיר]]</f>
        <v>0</v>
      </c>
      <c r="I103" s="630">
        <f>טבלה38[[#This Row],[סה"כ]]*טבלה38[[#This Row],[מחיר ליח'' כולל ]]</f>
        <v>0</v>
      </c>
      <c r="J103" s="655">
        <f>SUM(טבלה38[[#This Row],[פימת קפה]:[תוספות]])</f>
        <v>0</v>
      </c>
      <c r="K103" s="655">
        <f>SUMIF(טבלה11517[מקט],טבלה38[[#This Row],[קוד מוצר]],טבלה11517[כמות])</f>
        <v>0</v>
      </c>
      <c r="L103" s="655">
        <f>SUMIF(טבלה115179[מקט],טבלה38[[#This Row],[קוד מוצר]],טבלה115179[כמות])</f>
        <v>0</v>
      </c>
      <c r="M103" s="655">
        <f>SUMIF(טבלה115[מקט],טבלה38[[#This Row],[קוד מוצר]],טבלה115[כמות])</f>
        <v>0</v>
      </c>
      <c r="N103" s="655">
        <f>SUMIF(טבלה1[מק"ט],טבלה38[[#This Row],[קוד מוצר]],טבלה1[כמות])</f>
        <v>0</v>
      </c>
      <c r="O103" s="655">
        <f>SUMIF(טבלה8[מק"ט],טבלה38[[#This Row],[קוד מוצר]],טבלה8[הזמנה])</f>
        <v>0</v>
      </c>
      <c r="P103" s="655">
        <f>SUMIF(טבלה15[מק"ט],טבלה38[[#This Row],[קוד מוצר]],טבלה15[הזמנה])</f>
        <v>0</v>
      </c>
      <c r="Q103" s="655">
        <f>SUMIF(טבלה1151718[מקט],טבלה38[[#This Row],[קוד מוצר]],טבלה1151718[כמות])</f>
        <v>0</v>
      </c>
      <c r="R103" s="655">
        <f>SUMIF(טבלה125[מקט],טבלה38[[#This Row],[קוד מוצר]],טבלה125[כמות])</f>
        <v>0</v>
      </c>
      <c r="S103" s="655">
        <f>SUMIF(טבלה33[מק"ט],טבלה38[[#This Row],[קוד מוצר]],טבלה33[הזמנה])</f>
        <v>0</v>
      </c>
      <c r="T103" s="655">
        <f>SUMIF(טבלה34[עמודה1],טבלה38[[#This Row],[קוד מוצר]],טבלה34[הזמנה])</f>
        <v>0</v>
      </c>
      <c r="U103" s="655">
        <f>SUMIF(טבלה35[עמודה1],טבלה38[[#This Row],[קוד מוצר]],טבלה35[הזמנה])</f>
        <v>0</v>
      </c>
      <c r="V103" s="655">
        <f>SUMIF(טבלה3338[מק"ט],טבלה38[[#This Row],[קוד מוצר]],טבלה3338[הזמנה])</f>
        <v>0</v>
      </c>
      <c r="W103" s="655">
        <f>SUMIF(טבלה3540[עמודה1],טבלה38[[#This Row],[קוד מוצר]],טבלה3540[הזמנה])</f>
        <v>0</v>
      </c>
      <c r="X103" s="655">
        <f>SUMIF(טבלה3441[עמודה1],טבלה38[[#This Row],[קוד מוצר]],טבלה3441[הזמנה])</f>
        <v>0</v>
      </c>
      <c r="Y103" s="655">
        <f>SUMIF(טבלה24[מקט],טבלה38[[#This Row],[קוד מוצר]],טבלה24[כמות])</f>
        <v>0</v>
      </c>
      <c r="Z103" s="655">
        <f>SUMIF(טבלה628[קוד מוצר],טבלה38[[#This Row],[קוד מוצר]],טבלה628[תוספת])</f>
        <v>0</v>
      </c>
      <c r="AA103" s="610">
        <f>טבלה38[[#This Row],[פימת קפה]]*טבלה38[[#This Row],[מחיר ליח'' כולל ]]</f>
        <v>0</v>
      </c>
      <c r="AB103" s="610">
        <f>טבלה38[[#This Row],[פת שחרית]]*טבלה38[[#This Row],[מחיר ליח'' כולל ]]</f>
        <v>0</v>
      </c>
      <c r="AC103" s="610">
        <f>טבלה38[[#This Row],[א. בוקר פריסה]]*טבלה38[[#This Row],[מחיר ליח'' כולל ]]</f>
        <v>0</v>
      </c>
      <c r="AD103" s="666">
        <f>טבלה38[[#This Row],[א. צהררים פריסה ]]*טבלה38[[#This Row],[מחיר ליח'' כולל ]]</f>
        <v>0</v>
      </c>
      <c r="AE103" s="666">
        <f>טבלה38[[#This Row],[בוקר קיטים]]*טבלה38[[#This Row],[מחיר ליח'' כולל ]]</f>
        <v>0</v>
      </c>
      <c r="AF103" s="666">
        <f>טבלה38[[#This Row],[צהריים קיטים]]*טבלה38[[#This Row],[מחיר ליח'' כולל ]]</f>
        <v>0</v>
      </c>
      <c r="AG103" s="666">
        <f>טבלה38[[#This Row],[פריסת אמצע]]*טבלה38[[#This Row],[מחיר ליח'' כולל ]]</f>
        <v>0</v>
      </c>
      <c r="AH103" s="666">
        <f>טבלה38[[#This Row],[מרק]]*טבלה38[[#This Row],[מחיר ליח'' כולל ]]</f>
        <v>0</v>
      </c>
      <c r="AI103" s="666">
        <f>טבלה38[[#This Row],[ערב בישול 1]]*טבלה38[[#This Row],[מחיר ליח'' כולל ]]</f>
        <v>0</v>
      </c>
      <c r="AJ103" s="666">
        <f>טבלה38[[#This Row],[ערב בישול 2]]*טבלה38[[#This Row],[מחיר ליח'' כולל ]]</f>
        <v>0</v>
      </c>
      <c r="AK103" s="666">
        <f>טבלה38[[#This Row],[ערב בישול 3]]*טבלה38[[#This Row],[מחיר ליח'' כולל ]]</f>
        <v>0</v>
      </c>
      <c r="AL103" s="666">
        <f>טבלה38[[#This Row],[ערב קטן 1]]*טבלה38[[#This Row],[מחיר ליח'' כולל ]]</f>
        <v>0</v>
      </c>
      <c r="AM103" s="666">
        <f>טבלה38[[#This Row],[ערב קטן 2]]*טבלה38[[#This Row],[מחיר ליח'' כולל ]]</f>
        <v>0</v>
      </c>
      <c r="AN103" s="666">
        <f>טבלה38[[#This Row],[ערב קטן 3]]*טבלה38[[#This Row],[מחיר ליח'' כולל ]]</f>
        <v>0</v>
      </c>
      <c r="AO103" s="666">
        <f>טבלה38[[#This Row],[קיטים מיוחדים]]*טבלה38[[#This Row],[מחיר ליח'' כולל ]]</f>
        <v>0</v>
      </c>
      <c r="AP103" s="666">
        <f>טבלה38[[#This Row],[תוספות]]*טבלה38[[#This Row],[מחיר ליח'' כולל ]]</f>
        <v>0</v>
      </c>
    </row>
    <row r="104" spans="2:42" ht="14.4">
      <c r="B104" s="651">
        <v>965</v>
      </c>
      <c r="C104" s="650" t="s">
        <v>1016</v>
      </c>
      <c r="D104" s="650" t="s">
        <v>8</v>
      </c>
      <c r="E104" s="650"/>
      <c r="F104" s="649" t="str">
        <f>IF(טבלה38[[#This Row],[סה"כ]]&gt;0,טבלה38[[#This Row],[סה"כ]],"")</f>
        <v/>
      </c>
      <c r="G104" s="656">
        <v>0</v>
      </c>
      <c r="H104" s="655">
        <f>טבלה38[[#This Row],[מחיר]]+טבלה38[[#This Row],[% מע"מ]]*טבלה38[[#This Row],[מחיר]]</f>
        <v>0</v>
      </c>
      <c r="I104" s="630">
        <f>טבלה38[[#This Row],[סה"כ]]*טבלה38[[#This Row],[מחיר ליח'' כולל ]]</f>
        <v>0</v>
      </c>
      <c r="J104" s="655">
        <f>SUM(טבלה38[[#This Row],[פימת קפה]:[תוספות]])</f>
        <v>0</v>
      </c>
      <c r="K104" s="655">
        <f>SUMIF(טבלה11517[מקט],טבלה38[[#This Row],[קוד מוצר]],טבלה11517[כמות])</f>
        <v>0</v>
      </c>
      <c r="L104" s="655">
        <f>SUMIF(טבלה115179[מקט],טבלה38[[#This Row],[קוד מוצר]],טבלה115179[כמות])</f>
        <v>0</v>
      </c>
      <c r="M104" s="655">
        <f>SUMIF(טבלה115[מקט],טבלה38[[#This Row],[קוד מוצר]],טבלה115[כמות])</f>
        <v>0</v>
      </c>
      <c r="N104" s="655">
        <f>SUMIF(טבלה1[מק"ט],טבלה38[[#This Row],[קוד מוצר]],טבלה1[כמות])</f>
        <v>0</v>
      </c>
      <c r="O104" s="655">
        <f>SUMIF(טבלה8[מק"ט],טבלה38[[#This Row],[קוד מוצר]],טבלה8[הזמנה])</f>
        <v>0</v>
      </c>
      <c r="P104" s="655">
        <f>SUMIF(טבלה15[מק"ט],טבלה38[[#This Row],[קוד מוצר]],טבלה15[הזמנה])</f>
        <v>0</v>
      </c>
      <c r="Q104" s="655">
        <f>SUMIF(טבלה1151718[מקט],טבלה38[[#This Row],[קוד מוצר]],טבלה1151718[כמות])</f>
        <v>0</v>
      </c>
      <c r="R104" s="655">
        <f>SUMIF(טבלה125[מקט],טבלה38[[#This Row],[קוד מוצר]],טבלה125[כמות])</f>
        <v>0</v>
      </c>
      <c r="S104" s="655">
        <f>SUMIF(טבלה33[מק"ט],טבלה38[[#This Row],[קוד מוצר]],טבלה33[הזמנה])</f>
        <v>0</v>
      </c>
      <c r="T104" s="655">
        <f>SUMIF(טבלה34[עמודה1],טבלה38[[#This Row],[קוד מוצר]],טבלה34[הזמנה])</f>
        <v>0</v>
      </c>
      <c r="U104" s="655">
        <f>SUMIF(טבלה35[עמודה1],טבלה38[[#This Row],[קוד מוצר]],טבלה35[הזמנה])</f>
        <v>0</v>
      </c>
      <c r="V104" s="655">
        <f>SUMIF(טבלה3338[מק"ט],טבלה38[[#This Row],[קוד מוצר]],טבלה3338[הזמנה])</f>
        <v>0</v>
      </c>
      <c r="W104" s="655">
        <f>SUMIF(טבלה3540[עמודה1],טבלה38[[#This Row],[קוד מוצר]],טבלה3540[הזמנה])</f>
        <v>0</v>
      </c>
      <c r="X104" s="655">
        <f>SUMIF(טבלה3441[עמודה1],טבלה38[[#This Row],[קוד מוצר]],טבלה3441[הזמנה])</f>
        <v>0</v>
      </c>
      <c r="Y104" s="655">
        <f>SUMIF(טבלה24[מקט],טבלה38[[#This Row],[קוד מוצר]],טבלה24[כמות])</f>
        <v>0</v>
      </c>
      <c r="Z104" s="655">
        <f>SUMIF(טבלה628[קוד מוצר],טבלה38[[#This Row],[קוד מוצר]],טבלה628[תוספת])</f>
        <v>0</v>
      </c>
      <c r="AA104" s="610">
        <f>טבלה38[[#This Row],[פימת קפה]]*טבלה38[[#This Row],[מחיר ליח'' כולל ]]</f>
        <v>0</v>
      </c>
      <c r="AB104" s="610">
        <f>טבלה38[[#This Row],[פת שחרית]]*טבלה38[[#This Row],[מחיר ליח'' כולל ]]</f>
        <v>0</v>
      </c>
      <c r="AC104" s="610">
        <f>טבלה38[[#This Row],[א. בוקר פריסה]]*טבלה38[[#This Row],[מחיר ליח'' כולל ]]</f>
        <v>0</v>
      </c>
      <c r="AD104" s="666">
        <f>טבלה38[[#This Row],[א. צהררים פריסה ]]*טבלה38[[#This Row],[מחיר ליח'' כולל ]]</f>
        <v>0</v>
      </c>
      <c r="AE104" s="666">
        <f>טבלה38[[#This Row],[בוקר קיטים]]*טבלה38[[#This Row],[מחיר ליח'' כולל ]]</f>
        <v>0</v>
      </c>
      <c r="AF104" s="666">
        <f>טבלה38[[#This Row],[צהריים קיטים]]*טבלה38[[#This Row],[מחיר ליח'' כולל ]]</f>
        <v>0</v>
      </c>
      <c r="AG104" s="666">
        <f>טבלה38[[#This Row],[פריסת אמצע]]*טבלה38[[#This Row],[מחיר ליח'' כולל ]]</f>
        <v>0</v>
      </c>
      <c r="AH104" s="666">
        <f>טבלה38[[#This Row],[מרק]]*טבלה38[[#This Row],[מחיר ליח'' כולל ]]</f>
        <v>0</v>
      </c>
      <c r="AI104" s="666">
        <f>טבלה38[[#This Row],[ערב בישול 1]]*טבלה38[[#This Row],[מחיר ליח'' כולל ]]</f>
        <v>0</v>
      </c>
      <c r="AJ104" s="666">
        <f>טבלה38[[#This Row],[ערב בישול 2]]*טבלה38[[#This Row],[מחיר ליח'' כולל ]]</f>
        <v>0</v>
      </c>
      <c r="AK104" s="666">
        <f>טבלה38[[#This Row],[ערב בישול 3]]*טבלה38[[#This Row],[מחיר ליח'' כולל ]]</f>
        <v>0</v>
      </c>
      <c r="AL104" s="666">
        <f>טבלה38[[#This Row],[ערב קטן 1]]*טבלה38[[#This Row],[מחיר ליח'' כולל ]]</f>
        <v>0</v>
      </c>
      <c r="AM104" s="666">
        <f>טבלה38[[#This Row],[ערב קטן 2]]*טבלה38[[#This Row],[מחיר ליח'' כולל ]]</f>
        <v>0</v>
      </c>
      <c r="AN104" s="666">
        <f>טבלה38[[#This Row],[ערב קטן 3]]*טבלה38[[#This Row],[מחיר ליח'' כולל ]]</f>
        <v>0</v>
      </c>
      <c r="AO104" s="666">
        <f>טבלה38[[#This Row],[קיטים מיוחדים]]*טבלה38[[#This Row],[מחיר ליח'' כולל ]]</f>
        <v>0</v>
      </c>
      <c r="AP104" s="666">
        <f>טבלה38[[#This Row],[תוספות]]*טבלה38[[#This Row],[מחיר ליח'' כולל ]]</f>
        <v>0</v>
      </c>
    </row>
    <row r="105" spans="2:42" ht="14.4">
      <c r="B105" s="651">
        <v>973</v>
      </c>
      <c r="C105" s="650" t="s">
        <v>397</v>
      </c>
      <c r="D105" s="650" t="s">
        <v>8</v>
      </c>
      <c r="E105" s="650"/>
      <c r="F105" s="649" t="str">
        <f>IF(טבלה38[[#This Row],[סה"כ]]&gt;0,טבלה38[[#This Row],[סה"כ]],"")</f>
        <v/>
      </c>
      <c r="G105" s="656">
        <v>0</v>
      </c>
      <c r="H105" s="655">
        <f>טבלה38[[#This Row],[מחיר]]+טבלה38[[#This Row],[% מע"מ]]*טבלה38[[#This Row],[מחיר]]</f>
        <v>0</v>
      </c>
      <c r="I105" s="630">
        <f>טבלה38[[#This Row],[סה"כ]]*טבלה38[[#This Row],[מחיר ליח'' כולל ]]</f>
        <v>0</v>
      </c>
      <c r="J105" s="655">
        <f>SUM(טבלה38[[#This Row],[פימת קפה]:[תוספות]])</f>
        <v>0</v>
      </c>
      <c r="K105" s="655">
        <f>SUMIF(טבלה11517[מקט],טבלה38[[#This Row],[קוד מוצר]],טבלה11517[כמות])</f>
        <v>0</v>
      </c>
      <c r="L105" s="655">
        <f>SUMIF(טבלה115179[מקט],טבלה38[[#This Row],[קוד מוצר]],טבלה115179[כמות])</f>
        <v>0</v>
      </c>
      <c r="M105" s="655">
        <f>SUMIF(טבלה115[מקט],טבלה38[[#This Row],[קוד מוצר]],טבלה115[כמות])</f>
        <v>0</v>
      </c>
      <c r="N105" s="655">
        <f>SUMIF(טבלה1[מק"ט],טבלה38[[#This Row],[קוד מוצר]],טבלה1[כמות])</f>
        <v>0</v>
      </c>
      <c r="O105" s="655">
        <f>SUMIF(טבלה8[מק"ט],טבלה38[[#This Row],[קוד מוצר]],טבלה8[הזמנה])</f>
        <v>0</v>
      </c>
      <c r="P105" s="655">
        <f>SUMIF(טבלה15[מק"ט],טבלה38[[#This Row],[קוד מוצר]],טבלה15[הזמנה])</f>
        <v>0</v>
      </c>
      <c r="Q105" s="655">
        <f>SUMIF(טבלה1151718[מקט],טבלה38[[#This Row],[קוד מוצר]],טבלה1151718[כמות])</f>
        <v>0</v>
      </c>
      <c r="R105" s="655">
        <f>SUMIF(טבלה125[מקט],טבלה38[[#This Row],[קוד מוצר]],טבלה125[כמות])</f>
        <v>0</v>
      </c>
      <c r="S105" s="655">
        <f>SUMIF(טבלה33[מק"ט],טבלה38[[#This Row],[קוד מוצר]],טבלה33[הזמנה])</f>
        <v>0</v>
      </c>
      <c r="T105" s="655">
        <f>SUMIF(טבלה34[עמודה1],טבלה38[[#This Row],[קוד מוצר]],טבלה34[הזמנה])</f>
        <v>0</v>
      </c>
      <c r="U105" s="655">
        <f>SUMIF(טבלה35[עמודה1],טבלה38[[#This Row],[קוד מוצר]],טבלה35[הזמנה])</f>
        <v>0</v>
      </c>
      <c r="V105" s="655">
        <f>SUMIF(טבלה3338[מק"ט],טבלה38[[#This Row],[קוד מוצר]],טבלה3338[הזמנה])</f>
        <v>0</v>
      </c>
      <c r="W105" s="655">
        <f>SUMIF(טבלה3540[עמודה1],טבלה38[[#This Row],[קוד מוצר]],טבלה3540[הזמנה])</f>
        <v>0</v>
      </c>
      <c r="X105" s="655">
        <f>SUMIF(טבלה3441[עמודה1],טבלה38[[#This Row],[קוד מוצר]],טבלה3441[הזמנה])</f>
        <v>0</v>
      </c>
      <c r="Y105" s="655">
        <f>SUMIF(טבלה24[מקט],טבלה38[[#This Row],[קוד מוצר]],טבלה24[כמות])</f>
        <v>0</v>
      </c>
      <c r="Z105" s="655">
        <f>SUMIF(טבלה628[קוד מוצר],טבלה38[[#This Row],[קוד מוצר]],טבלה628[תוספת])</f>
        <v>0</v>
      </c>
      <c r="AA105" s="610">
        <f>טבלה38[[#This Row],[פימת קפה]]*טבלה38[[#This Row],[מחיר ליח'' כולל ]]</f>
        <v>0</v>
      </c>
      <c r="AB105" s="610">
        <f>טבלה38[[#This Row],[פת שחרית]]*טבלה38[[#This Row],[מחיר ליח'' כולל ]]</f>
        <v>0</v>
      </c>
      <c r="AC105" s="610">
        <f>טבלה38[[#This Row],[א. בוקר פריסה]]*טבלה38[[#This Row],[מחיר ליח'' כולל ]]</f>
        <v>0</v>
      </c>
      <c r="AD105" s="666">
        <f>טבלה38[[#This Row],[א. צהררים פריסה ]]*טבלה38[[#This Row],[מחיר ליח'' כולל ]]</f>
        <v>0</v>
      </c>
      <c r="AE105" s="666">
        <f>טבלה38[[#This Row],[בוקר קיטים]]*טבלה38[[#This Row],[מחיר ליח'' כולל ]]</f>
        <v>0</v>
      </c>
      <c r="AF105" s="666">
        <f>טבלה38[[#This Row],[צהריים קיטים]]*טבלה38[[#This Row],[מחיר ליח'' כולל ]]</f>
        <v>0</v>
      </c>
      <c r="AG105" s="666">
        <f>טבלה38[[#This Row],[פריסת אמצע]]*טבלה38[[#This Row],[מחיר ליח'' כולל ]]</f>
        <v>0</v>
      </c>
      <c r="AH105" s="666">
        <f>טבלה38[[#This Row],[מרק]]*טבלה38[[#This Row],[מחיר ליח'' כולל ]]</f>
        <v>0</v>
      </c>
      <c r="AI105" s="666">
        <f>טבלה38[[#This Row],[ערב בישול 1]]*טבלה38[[#This Row],[מחיר ליח'' כולל ]]</f>
        <v>0</v>
      </c>
      <c r="AJ105" s="666">
        <f>טבלה38[[#This Row],[ערב בישול 2]]*טבלה38[[#This Row],[מחיר ליח'' כולל ]]</f>
        <v>0</v>
      </c>
      <c r="AK105" s="666">
        <f>טבלה38[[#This Row],[ערב בישול 3]]*טבלה38[[#This Row],[מחיר ליח'' כולל ]]</f>
        <v>0</v>
      </c>
      <c r="AL105" s="666">
        <f>טבלה38[[#This Row],[ערב קטן 1]]*טבלה38[[#This Row],[מחיר ליח'' כולל ]]</f>
        <v>0</v>
      </c>
      <c r="AM105" s="666">
        <f>טבלה38[[#This Row],[ערב קטן 2]]*טבלה38[[#This Row],[מחיר ליח'' כולל ]]</f>
        <v>0</v>
      </c>
      <c r="AN105" s="666">
        <f>טבלה38[[#This Row],[ערב קטן 3]]*טבלה38[[#This Row],[מחיר ליח'' כולל ]]</f>
        <v>0</v>
      </c>
      <c r="AO105" s="666">
        <f>טבלה38[[#This Row],[קיטים מיוחדים]]*טבלה38[[#This Row],[מחיר ליח'' כולל ]]</f>
        <v>0</v>
      </c>
      <c r="AP105" s="666">
        <f>טבלה38[[#This Row],[תוספות]]*טבלה38[[#This Row],[מחיר ליח'' כולל ]]</f>
        <v>0</v>
      </c>
    </row>
    <row r="106" spans="2:42" ht="14.4">
      <c r="B106" s="651">
        <v>1304</v>
      </c>
      <c r="C106" s="650" t="s">
        <v>1017</v>
      </c>
      <c r="D106" s="650" t="s">
        <v>8</v>
      </c>
      <c r="E106" s="650"/>
      <c r="F106" s="649" t="str">
        <f>IF(טבלה38[[#This Row],[סה"כ]]&gt;0,טבלה38[[#This Row],[סה"כ]],"")</f>
        <v/>
      </c>
      <c r="G106" s="656">
        <v>0</v>
      </c>
      <c r="H106" s="655">
        <f>טבלה38[[#This Row],[מחיר]]+טבלה38[[#This Row],[% מע"מ]]*טבלה38[[#This Row],[מחיר]]</f>
        <v>0</v>
      </c>
      <c r="I106" s="630">
        <f>טבלה38[[#This Row],[סה"כ]]*טבלה38[[#This Row],[מחיר ליח'' כולל ]]</f>
        <v>0</v>
      </c>
      <c r="J106" s="655">
        <f>SUM(טבלה38[[#This Row],[פימת קפה]:[תוספות]])</f>
        <v>0</v>
      </c>
      <c r="K106" s="655">
        <f>SUMIF(טבלה11517[מקט],טבלה38[[#This Row],[קוד מוצר]],טבלה11517[כמות])</f>
        <v>0</v>
      </c>
      <c r="L106" s="655">
        <f>SUMIF(טבלה115179[מקט],טבלה38[[#This Row],[קוד מוצר]],טבלה115179[כמות])</f>
        <v>0</v>
      </c>
      <c r="M106" s="655">
        <f>SUMIF(טבלה115[מקט],טבלה38[[#This Row],[קוד מוצר]],טבלה115[כמות])</f>
        <v>0</v>
      </c>
      <c r="N106" s="655">
        <f>SUMIF(טבלה1[מק"ט],טבלה38[[#This Row],[קוד מוצר]],טבלה1[כמות])</f>
        <v>0</v>
      </c>
      <c r="O106" s="655">
        <f>SUMIF(טבלה8[מק"ט],טבלה38[[#This Row],[קוד מוצר]],טבלה8[הזמנה])</f>
        <v>0</v>
      </c>
      <c r="P106" s="655">
        <f>SUMIF(טבלה15[מק"ט],טבלה38[[#This Row],[קוד מוצר]],טבלה15[הזמנה])</f>
        <v>0</v>
      </c>
      <c r="Q106" s="655">
        <f>SUMIF(טבלה1151718[מקט],טבלה38[[#This Row],[קוד מוצר]],טבלה1151718[כמות])</f>
        <v>0</v>
      </c>
      <c r="R106" s="655">
        <f>SUMIF(טבלה125[מקט],טבלה38[[#This Row],[קוד מוצר]],טבלה125[כמות])</f>
        <v>0</v>
      </c>
      <c r="S106" s="655">
        <f>SUMIF(טבלה33[מק"ט],טבלה38[[#This Row],[קוד מוצר]],טבלה33[הזמנה])</f>
        <v>0</v>
      </c>
      <c r="T106" s="655">
        <f>SUMIF(טבלה34[עמודה1],טבלה38[[#This Row],[קוד מוצר]],טבלה34[הזמנה])</f>
        <v>0</v>
      </c>
      <c r="U106" s="655">
        <f>SUMIF(טבלה35[עמודה1],טבלה38[[#This Row],[קוד מוצר]],טבלה35[הזמנה])</f>
        <v>0</v>
      </c>
      <c r="V106" s="655">
        <f>SUMIF(טבלה3338[מק"ט],טבלה38[[#This Row],[קוד מוצר]],טבלה3338[הזמנה])</f>
        <v>0</v>
      </c>
      <c r="W106" s="655">
        <f>SUMIF(טבלה3540[עמודה1],טבלה38[[#This Row],[קוד מוצר]],טבלה3540[הזמנה])</f>
        <v>0</v>
      </c>
      <c r="X106" s="655">
        <f>SUMIF(טבלה3441[עמודה1],טבלה38[[#This Row],[קוד מוצר]],טבלה3441[הזמנה])</f>
        <v>0</v>
      </c>
      <c r="Y106" s="655">
        <f>SUMIF(טבלה24[מקט],טבלה38[[#This Row],[קוד מוצר]],טבלה24[כמות])</f>
        <v>0</v>
      </c>
      <c r="Z106" s="655">
        <f>SUMIF(טבלה628[קוד מוצר],טבלה38[[#This Row],[קוד מוצר]],טבלה628[תוספת])</f>
        <v>0</v>
      </c>
      <c r="AA106" s="610">
        <f>טבלה38[[#This Row],[פימת קפה]]*טבלה38[[#This Row],[מחיר ליח'' כולל ]]</f>
        <v>0</v>
      </c>
      <c r="AB106" s="610">
        <f>טבלה38[[#This Row],[פת שחרית]]*טבלה38[[#This Row],[מחיר ליח'' כולל ]]</f>
        <v>0</v>
      </c>
      <c r="AC106" s="610">
        <f>טבלה38[[#This Row],[א. בוקר פריסה]]*טבלה38[[#This Row],[מחיר ליח'' כולל ]]</f>
        <v>0</v>
      </c>
      <c r="AD106" s="666">
        <f>טבלה38[[#This Row],[א. צהררים פריסה ]]*טבלה38[[#This Row],[מחיר ליח'' כולל ]]</f>
        <v>0</v>
      </c>
      <c r="AE106" s="666">
        <f>טבלה38[[#This Row],[בוקר קיטים]]*טבלה38[[#This Row],[מחיר ליח'' כולל ]]</f>
        <v>0</v>
      </c>
      <c r="AF106" s="666">
        <f>טבלה38[[#This Row],[צהריים קיטים]]*טבלה38[[#This Row],[מחיר ליח'' כולל ]]</f>
        <v>0</v>
      </c>
      <c r="AG106" s="666">
        <f>טבלה38[[#This Row],[פריסת אמצע]]*טבלה38[[#This Row],[מחיר ליח'' כולל ]]</f>
        <v>0</v>
      </c>
      <c r="AH106" s="666">
        <f>טבלה38[[#This Row],[מרק]]*טבלה38[[#This Row],[מחיר ליח'' כולל ]]</f>
        <v>0</v>
      </c>
      <c r="AI106" s="666">
        <f>טבלה38[[#This Row],[ערב בישול 1]]*טבלה38[[#This Row],[מחיר ליח'' כולל ]]</f>
        <v>0</v>
      </c>
      <c r="AJ106" s="666">
        <f>טבלה38[[#This Row],[ערב בישול 2]]*טבלה38[[#This Row],[מחיר ליח'' כולל ]]</f>
        <v>0</v>
      </c>
      <c r="AK106" s="666">
        <f>טבלה38[[#This Row],[ערב בישול 3]]*טבלה38[[#This Row],[מחיר ליח'' כולל ]]</f>
        <v>0</v>
      </c>
      <c r="AL106" s="666">
        <f>טבלה38[[#This Row],[ערב קטן 1]]*טבלה38[[#This Row],[מחיר ליח'' כולל ]]</f>
        <v>0</v>
      </c>
      <c r="AM106" s="666">
        <f>טבלה38[[#This Row],[ערב קטן 2]]*טבלה38[[#This Row],[מחיר ליח'' כולל ]]</f>
        <v>0</v>
      </c>
      <c r="AN106" s="666">
        <f>טבלה38[[#This Row],[ערב קטן 3]]*טבלה38[[#This Row],[מחיר ליח'' כולל ]]</f>
        <v>0</v>
      </c>
      <c r="AO106" s="666">
        <f>טבלה38[[#This Row],[קיטים מיוחדים]]*טבלה38[[#This Row],[מחיר ליח'' כולל ]]</f>
        <v>0</v>
      </c>
      <c r="AP106" s="666">
        <f>טבלה38[[#This Row],[תוספות]]*טבלה38[[#This Row],[מחיר ליח'' כולל ]]</f>
        <v>0</v>
      </c>
    </row>
    <row r="107" spans="2:42" ht="14.4">
      <c r="B107" s="651">
        <v>1455</v>
      </c>
      <c r="C107" s="650" t="s">
        <v>1121</v>
      </c>
      <c r="D107" s="650" t="s">
        <v>602</v>
      </c>
      <c r="E107" s="650"/>
      <c r="F107" s="649" t="str">
        <f>IF(טבלה38[[#This Row],[סה"כ]]&gt;0,טבלה38[[#This Row],[סה"כ]],"")</f>
        <v/>
      </c>
      <c r="G107" s="656">
        <v>0.17</v>
      </c>
      <c r="H107" s="655">
        <f>טבלה38[[#This Row],[מחיר]]+טבלה38[[#This Row],[% מע"מ]]*טבלה38[[#This Row],[מחיר]]</f>
        <v>0</v>
      </c>
      <c r="I107" s="630">
        <f>טבלה38[[#This Row],[סה"כ]]*טבלה38[[#This Row],[מחיר ליח'' כולל ]]</f>
        <v>0</v>
      </c>
      <c r="J107" s="655">
        <f>SUM(טבלה38[[#This Row],[פימת קפה]:[תוספות]])</f>
        <v>0</v>
      </c>
      <c r="K107" s="655">
        <f>SUMIF(טבלה11517[מקט],טבלה38[[#This Row],[קוד מוצר]],טבלה11517[כמות])</f>
        <v>0</v>
      </c>
      <c r="L107" s="655">
        <f>SUMIF(טבלה115179[מקט],טבלה38[[#This Row],[קוד מוצר]],טבלה115179[כמות])</f>
        <v>0</v>
      </c>
      <c r="M107" s="655">
        <f>SUMIF(טבלה115[מקט],טבלה38[[#This Row],[קוד מוצר]],טבלה115[כמות])</f>
        <v>0</v>
      </c>
      <c r="N107" s="655">
        <f>SUMIF(טבלה1[מק"ט],טבלה38[[#This Row],[קוד מוצר]],טבלה1[כמות])</f>
        <v>0</v>
      </c>
      <c r="O107" s="655">
        <f>SUMIF(טבלה8[מק"ט],טבלה38[[#This Row],[קוד מוצר]],טבלה8[הזמנה])</f>
        <v>0</v>
      </c>
      <c r="P107" s="655">
        <f>SUMIF(טבלה15[מק"ט],טבלה38[[#This Row],[קוד מוצר]],טבלה15[הזמנה])</f>
        <v>0</v>
      </c>
      <c r="Q107" s="655">
        <f>SUMIF(טבלה1151718[מקט],טבלה38[[#This Row],[קוד מוצר]],טבלה1151718[כמות])</f>
        <v>0</v>
      </c>
      <c r="R107" s="655">
        <f>SUMIF(טבלה125[מקט],טבלה38[[#This Row],[קוד מוצר]],טבלה125[כמות])</f>
        <v>0</v>
      </c>
      <c r="S107" s="655">
        <f>SUMIF(טבלה33[מק"ט],טבלה38[[#This Row],[קוד מוצר]],טבלה33[הזמנה])</f>
        <v>0</v>
      </c>
      <c r="T107" s="655">
        <f>SUMIF(טבלה34[עמודה1],טבלה38[[#This Row],[קוד מוצר]],טבלה34[הזמנה])</f>
        <v>0</v>
      </c>
      <c r="U107" s="655">
        <f>SUMIF(טבלה35[עמודה1],טבלה38[[#This Row],[קוד מוצר]],טבלה35[הזמנה])</f>
        <v>0</v>
      </c>
      <c r="V107" s="655">
        <f>SUMIF(טבלה3338[מק"ט],טבלה38[[#This Row],[קוד מוצר]],טבלה3338[הזמנה])</f>
        <v>0</v>
      </c>
      <c r="W107" s="655">
        <f>SUMIF(טבלה3540[עמודה1],טבלה38[[#This Row],[קוד מוצר]],טבלה3540[הזמנה])</f>
        <v>0</v>
      </c>
      <c r="X107" s="655">
        <f>SUMIF(טבלה3441[עמודה1],טבלה38[[#This Row],[קוד מוצר]],טבלה3441[הזמנה])</f>
        <v>0</v>
      </c>
      <c r="Y107" s="655">
        <f>SUMIF(טבלה24[מקט],טבלה38[[#This Row],[קוד מוצר]],טבלה24[כמות])</f>
        <v>0</v>
      </c>
      <c r="Z107" s="655">
        <f>SUMIF(טבלה628[קוד מוצר],טבלה38[[#This Row],[קוד מוצר]],טבלה628[תוספת])</f>
        <v>0</v>
      </c>
      <c r="AA107" s="610">
        <f>טבלה38[[#This Row],[פימת קפה]]*טבלה38[[#This Row],[מחיר ליח'' כולל ]]</f>
        <v>0</v>
      </c>
      <c r="AB107" s="610">
        <f>טבלה38[[#This Row],[פת שחרית]]*טבלה38[[#This Row],[מחיר ליח'' כולל ]]</f>
        <v>0</v>
      </c>
      <c r="AC107" s="610">
        <f>טבלה38[[#This Row],[א. בוקר פריסה]]*טבלה38[[#This Row],[מחיר ליח'' כולל ]]</f>
        <v>0</v>
      </c>
      <c r="AD107" s="666">
        <f>טבלה38[[#This Row],[א. צהררים פריסה ]]*טבלה38[[#This Row],[מחיר ליח'' כולל ]]</f>
        <v>0</v>
      </c>
      <c r="AE107" s="666">
        <f>טבלה38[[#This Row],[בוקר קיטים]]*טבלה38[[#This Row],[מחיר ליח'' כולל ]]</f>
        <v>0</v>
      </c>
      <c r="AF107" s="666">
        <f>טבלה38[[#This Row],[צהריים קיטים]]*טבלה38[[#This Row],[מחיר ליח'' כולל ]]</f>
        <v>0</v>
      </c>
      <c r="AG107" s="666">
        <f>טבלה38[[#This Row],[פריסת אמצע]]*טבלה38[[#This Row],[מחיר ליח'' כולל ]]</f>
        <v>0</v>
      </c>
      <c r="AH107" s="666">
        <f>טבלה38[[#This Row],[מרק]]*טבלה38[[#This Row],[מחיר ליח'' כולל ]]</f>
        <v>0</v>
      </c>
      <c r="AI107" s="666">
        <f>טבלה38[[#This Row],[ערב בישול 1]]*טבלה38[[#This Row],[מחיר ליח'' כולל ]]</f>
        <v>0</v>
      </c>
      <c r="AJ107" s="666">
        <f>טבלה38[[#This Row],[ערב בישול 2]]*טבלה38[[#This Row],[מחיר ליח'' כולל ]]</f>
        <v>0</v>
      </c>
      <c r="AK107" s="666">
        <f>טבלה38[[#This Row],[ערב בישול 3]]*טבלה38[[#This Row],[מחיר ליח'' כולל ]]</f>
        <v>0</v>
      </c>
      <c r="AL107" s="666">
        <f>טבלה38[[#This Row],[ערב קטן 1]]*טבלה38[[#This Row],[מחיר ליח'' כולל ]]</f>
        <v>0</v>
      </c>
      <c r="AM107" s="666">
        <f>טבלה38[[#This Row],[ערב קטן 2]]*טבלה38[[#This Row],[מחיר ליח'' כולל ]]</f>
        <v>0</v>
      </c>
      <c r="AN107" s="666">
        <f>טבלה38[[#This Row],[ערב קטן 3]]*טבלה38[[#This Row],[מחיר ליח'' כולל ]]</f>
        <v>0</v>
      </c>
      <c r="AO107" s="666">
        <f>טבלה38[[#This Row],[קיטים מיוחדים]]*טבלה38[[#This Row],[מחיר ליח'' כולל ]]</f>
        <v>0</v>
      </c>
      <c r="AP107" s="666">
        <f>טבלה38[[#This Row],[תוספות]]*טבלה38[[#This Row],[מחיר ליח'' כולל ]]</f>
        <v>0</v>
      </c>
    </row>
    <row r="108" spans="2:42" ht="14.4">
      <c r="B108" s="651">
        <v>1776</v>
      </c>
      <c r="C108" s="650" t="s">
        <v>1043</v>
      </c>
      <c r="D108" s="650" t="s">
        <v>602</v>
      </c>
      <c r="E108" s="650"/>
      <c r="F108" s="649" t="str">
        <f>IF(טבלה38[[#This Row],[סה"כ]]&gt;0,טבלה38[[#This Row],[סה"כ]],"")</f>
        <v/>
      </c>
      <c r="G108" s="656">
        <v>0.17</v>
      </c>
      <c r="H108" s="655">
        <f>טבלה38[[#This Row],[מחיר]]+טבלה38[[#This Row],[% מע"מ]]*טבלה38[[#This Row],[מחיר]]</f>
        <v>0</v>
      </c>
      <c r="I108" s="630">
        <f>טבלה38[[#This Row],[סה"כ]]*טבלה38[[#This Row],[מחיר ליח'' כולל ]]</f>
        <v>0</v>
      </c>
      <c r="J108" s="655">
        <f>SUM(טבלה38[[#This Row],[פימת קפה]:[תוספות]])</f>
        <v>0</v>
      </c>
      <c r="K108" s="655">
        <f>SUMIF(טבלה11517[מקט],טבלה38[[#This Row],[קוד מוצר]],טבלה11517[כמות])</f>
        <v>0</v>
      </c>
      <c r="L108" s="655">
        <f>SUMIF(טבלה115179[מקט],טבלה38[[#This Row],[קוד מוצר]],טבלה115179[כמות])</f>
        <v>0</v>
      </c>
      <c r="M108" s="655">
        <f>SUMIF(טבלה115[מקט],טבלה38[[#This Row],[קוד מוצר]],טבלה115[כמות])</f>
        <v>0</v>
      </c>
      <c r="N108" s="655">
        <f>SUMIF(טבלה1[מק"ט],טבלה38[[#This Row],[קוד מוצר]],טבלה1[כמות])</f>
        <v>0</v>
      </c>
      <c r="O108" s="655">
        <f>SUMIF(טבלה8[מק"ט],טבלה38[[#This Row],[קוד מוצר]],טבלה8[הזמנה])</f>
        <v>0</v>
      </c>
      <c r="P108" s="655">
        <f>SUMIF(טבלה15[מק"ט],טבלה38[[#This Row],[קוד מוצר]],טבלה15[הזמנה])</f>
        <v>0</v>
      </c>
      <c r="Q108" s="655">
        <f>SUMIF(טבלה1151718[מקט],טבלה38[[#This Row],[קוד מוצר]],טבלה1151718[כמות])</f>
        <v>0</v>
      </c>
      <c r="R108" s="655">
        <f>SUMIF(טבלה125[מקט],טבלה38[[#This Row],[קוד מוצר]],טבלה125[כמות])</f>
        <v>0</v>
      </c>
      <c r="S108" s="655">
        <f>SUMIF(טבלה33[מק"ט],טבלה38[[#This Row],[קוד מוצר]],טבלה33[הזמנה])</f>
        <v>0</v>
      </c>
      <c r="T108" s="655">
        <f>SUMIF(טבלה34[עמודה1],טבלה38[[#This Row],[קוד מוצר]],טבלה34[הזמנה])</f>
        <v>0</v>
      </c>
      <c r="U108" s="655">
        <f>SUMIF(טבלה35[עמודה1],טבלה38[[#This Row],[קוד מוצר]],טבלה35[הזמנה])</f>
        <v>0</v>
      </c>
      <c r="V108" s="655">
        <f>SUMIF(טבלה3338[מק"ט],טבלה38[[#This Row],[קוד מוצר]],טבלה3338[הזמנה])</f>
        <v>0</v>
      </c>
      <c r="W108" s="655">
        <f>SUMIF(טבלה3540[עמודה1],טבלה38[[#This Row],[קוד מוצר]],טבלה3540[הזמנה])</f>
        <v>0</v>
      </c>
      <c r="X108" s="655">
        <f>SUMIF(טבלה3441[עמודה1],טבלה38[[#This Row],[קוד מוצר]],טבלה3441[הזמנה])</f>
        <v>0</v>
      </c>
      <c r="Y108" s="655">
        <f>SUMIF(טבלה24[מקט],טבלה38[[#This Row],[קוד מוצר]],טבלה24[כמות])</f>
        <v>0</v>
      </c>
      <c r="Z108" s="655">
        <f>SUMIF(טבלה628[קוד מוצר],טבלה38[[#This Row],[קוד מוצר]],טבלה628[תוספת])</f>
        <v>0</v>
      </c>
      <c r="AA108" s="610">
        <f>טבלה38[[#This Row],[פימת קפה]]*טבלה38[[#This Row],[מחיר ליח'' כולל ]]</f>
        <v>0</v>
      </c>
      <c r="AB108" s="610">
        <f>טבלה38[[#This Row],[פת שחרית]]*טבלה38[[#This Row],[מחיר ליח'' כולל ]]</f>
        <v>0</v>
      </c>
      <c r="AC108" s="610">
        <f>טבלה38[[#This Row],[א. בוקר פריסה]]*טבלה38[[#This Row],[מחיר ליח'' כולל ]]</f>
        <v>0</v>
      </c>
      <c r="AD108" s="666">
        <f>טבלה38[[#This Row],[א. צהררים פריסה ]]*טבלה38[[#This Row],[מחיר ליח'' כולל ]]</f>
        <v>0</v>
      </c>
      <c r="AE108" s="666">
        <f>טבלה38[[#This Row],[בוקר קיטים]]*טבלה38[[#This Row],[מחיר ליח'' כולל ]]</f>
        <v>0</v>
      </c>
      <c r="AF108" s="666">
        <f>טבלה38[[#This Row],[צהריים קיטים]]*טבלה38[[#This Row],[מחיר ליח'' כולל ]]</f>
        <v>0</v>
      </c>
      <c r="AG108" s="666">
        <f>טבלה38[[#This Row],[פריסת אמצע]]*טבלה38[[#This Row],[מחיר ליח'' כולל ]]</f>
        <v>0</v>
      </c>
      <c r="AH108" s="666">
        <f>טבלה38[[#This Row],[מרק]]*טבלה38[[#This Row],[מחיר ליח'' כולל ]]</f>
        <v>0</v>
      </c>
      <c r="AI108" s="666">
        <f>טבלה38[[#This Row],[ערב בישול 1]]*טבלה38[[#This Row],[מחיר ליח'' כולל ]]</f>
        <v>0</v>
      </c>
      <c r="AJ108" s="666">
        <f>טבלה38[[#This Row],[ערב בישול 2]]*טבלה38[[#This Row],[מחיר ליח'' כולל ]]</f>
        <v>0</v>
      </c>
      <c r="AK108" s="666">
        <f>טבלה38[[#This Row],[ערב בישול 3]]*טבלה38[[#This Row],[מחיר ליח'' כולל ]]</f>
        <v>0</v>
      </c>
      <c r="AL108" s="666">
        <f>טבלה38[[#This Row],[ערב קטן 1]]*טבלה38[[#This Row],[מחיר ליח'' כולל ]]</f>
        <v>0</v>
      </c>
      <c r="AM108" s="666">
        <f>טבלה38[[#This Row],[ערב קטן 2]]*טבלה38[[#This Row],[מחיר ליח'' כולל ]]</f>
        <v>0</v>
      </c>
      <c r="AN108" s="666">
        <f>טבלה38[[#This Row],[ערב קטן 3]]*טבלה38[[#This Row],[מחיר ליח'' כולל ]]</f>
        <v>0</v>
      </c>
      <c r="AO108" s="666">
        <f>טבלה38[[#This Row],[קיטים מיוחדים]]*טבלה38[[#This Row],[מחיר ליח'' כולל ]]</f>
        <v>0</v>
      </c>
      <c r="AP108" s="666">
        <f>טבלה38[[#This Row],[תוספות]]*טבלה38[[#This Row],[מחיר ליח'' כולל ]]</f>
        <v>0</v>
      </c>
    </row>
    <row r="109" spans="2:42" ht="14.4">
      <c r="B109" s="651">
        <v>1824</v>
      </c>
      <c r="C109" s="650" t="s">
        <v>1057</v>
      </c>
      <c r="D109" s="650" t="s">
        <v>602</v>
      </c>
      <c r="E109" s="650"/>
      <c r="F109" s="649" t="str">
        <f>IF(טבלה38[[#This Row],[סה"כ]]&gt;0,טבלה38[[#This Row],[סה"כ]],"")</f>
        <v/>
      </c>
      <c r="G109" s="656">
        <v>0.17</v>
      </c>
      <c r="H109" s="655">
        <f>טבלה38[[#This Row],[מחיר]]+טבלה38[[#This Row],[% מע"מ]]*טבלה38[[#This Row],[מחיר]]</f>
        <v>0</v>
      </c>
      <c r="I109" s="630">
        <f>טבלה38[[#This Row],[סה"כ]]*טבלה38[[#This Row],[מחיר ליח'' כולל ]]</f>
        <v>0</v>
      </c>
      <c r="J109" s="655">
        <f>SUM(טבלה38[[#This Row],[פימת קפה]:[תוספות]])</f>
        <v>0</v>
      </c>
      <c r="K109" s="655">
        <f>SUMIF(טבלה11517[מקט],טבלה38[[#This Row],[קוד מוצר]],טבלה11517[כמות])</f>
        <v>0</v>
      </c>
      <c r="L109" s="655">
        <f>SUMIF(טבלה115179[מקט],טבלה38[[#This Row],[קוד מוצר]],טבלה115179[כמות])</f>
        <v>0</v>
      </c>
      <c r="M109" s="655">
        <f>SUMIF(טבלה115[מקט],טבלה38[[#This Row],[קוד מוצר]],טבלה115[כמות])</f>
        <v>0</v>
      </c>
      <c r="N109" s="655">
        <f>SUMIF(טבלה1[מק"ט],טבלה38[[#This Row],[קוד מוצר]],טבלה1[כמות])</f>
        <v>0</v>
      </c>
      <c r="O109" s="655">
        <f>SUMIF(טבלה8[מק"ט],טבלה38[[#This Row],[קוד מוצר]],טבלה8[הזמנה])</f>
        <v>0</v>
      </c>
      <c r="P109" s="655">
        <f>SUMIF(טבלה15[מק"ט],טבלה38[[#This Row],[קוד מוצר]],טבלה15[הזמנה])</f>
        <v>0</v>
      </c>
      <c r="Q109" s="655">
        <f>SUMIF(טבלה1151718[מקט],טבלה38[[#This Row],[קוד מוצר]],טבלה1151718[כמות])</f>
        <v>0</v>
      </c>
      <c r="R109" s="655">
        <f>SUMIF(טבלה125[מקט],טבלה38[[#This Row],[קוד מוצר]],טבלה125[כמות])</f>
        <v>0</v>
      </c>
      <c r="S109" s="655">
        <f>SUMIF(טבלה33[מק"ט],טבלה38[[#This Row],[קוד מוצר]],טבלה33[הזמנה])</f>
        <v>0</v>
      </c>
      <c r="T109" s="655">
        <f>SUMIF(טבלה34[עמודה1],טבלה38[[#This Row],[קוד מוצר]],טבלה34[הזמנה])</f>
        <v>0</v>
      </c>
      <c r="U109" s="655">
        <f>SUMIF(טבלה35[עמודה1],טבלה38[[#This Row],[קוד מוצר]],טבלה35[הזמנה])</f>
        <v>0</v>
      </c>
      <c r="V109" s="655">
        <f>SUMIF(טבלה3338[מק"ט],טבלה38[[#This Row],[קוד מוצר]],טבלה3338[הזמנה])</f>
        <v>0</v>
      </c>
      <c r="W109" s="655">
        <f>SUMIF(טבלה3540[עמודה1],טבלה38[[#This Row],[קוד מוצר]],טבלה3540[הזמנה])</f>
        <v>0</v>
      </c>
      <c r="X109" s="655">
        <f>SUMIF(טבלה3441[עמודה1],טבלה38[[#This Row],[קוד מוצר]],טבלה3441[הזמנה])</f>
        <v>0</v>
      </c>
      <c r="Y109" s="655">
        <f>SUMIF(טבלה24[מקט],טבלה38[[#This Row],[קוד מוצר]],טבלה24[כמות])</f>
        <v>0</v>
      </c>
      <c r="Z109" s="655">
        <f>SUMIF(טבלה628[קוד מוצר],טבלה38[[#This Row],[קוד מוצר]],טבלה628[תוספת])</f>
        <v>0</v>
      </c>
      <c r="AA109" s="610">
        <f>טבלה38[[#This Row],[פימת קפה]]*טבלה38[[#This Row],[מחיר ליח'' כולל ]]</f>
        <v>0</v>
      </c>
      <c r="AB109" s="610">
        <f>טבלה38[[#This Row],[פת שחרית]]*טבלה38[[#This Row],[מחיר ליח'' כולל ]]</f>
        <v>0</v>
      </c>
      <c r="AC109" s="610">
        <f>טבלה38[[#This Row],[א. בוקר פריסה]]*טבלה38[[#This Row],[מחיר ליח'' כולל ]]</f>
        <v>0</v>
      </c>
      <c r="AD109" s="666">
        <f>טבלה38[[#This Row],[א. צהררים פריסה ]]*טבלה38[[#This Row],[מחיר ליח'' כולל ]]</f>
        <v>0</v>
      </c>
      <c r="AE109" s="666">
        <f>טבלה38[[#This Row],[בוקר קיטים]]*טבלה38[[#This Row],[מחיר ליח'' כולל ]]</f>
        <v>0</v>
      </c>
      <c r="AF109" s="666">
        <f>טבלה38[[#This Row],[צהריים קיטים]]*טבלה38[[#This Row],[מחיר ליח'' כולל ]]</f>
        <v>0</v>
      </c>
      <c r="AG109" s="666">
        <f>טבלה38[[#This Row],[פריסת אמצע]]*טבלה38[[#This Row],[מחיר ליח'' כולל ]]</f>
        <v>0</v>
      </c>
      <c r="AH109" s="666">
        <f>טבלה38[[#This Row],[מרק]]*טבלה38[[#This Row],[מחיר ליח'' כולל ]]</f>
        <v>0</v>
      </c>
      <c r="AI109" s="666">
        <f>טבלה38[[#This Row],[ערב בישול 1]]*טבלה38[[#This Row],[מחיר ליח'' כולל ]]</f>
        <v>0</v>
      </c>
      <c r="AJ109" s="666">
        <f>טבלה38[[#This Row],[ערב בישול 2]]*טבלה38[[#This Row],[מחיר ליח'' כולל ]]</f>
        <v>0</v>
      </c>
      <c r="AK109" s="666">
        <f>טבלה38[[#This Row],[ערב בישול 3]]*טבלה38[[#This Row],[מחיר ליח'' כולל ]]</f>
        <v>0</v>
      </c>
      <c r="AL109" s="666">
        <f>טבלה38[[#This Row],[ערב קטן 1]]*טבלה38[[#This Row],[מחיר ליח'' כולל ]]</f>
        <v>0</v>
      </c>
      <c r="AM109" s="666">
        <f>טבלה38[[#This Row],[ערב קטן 2]]*טבלה38[[#This Row],[מחיר ליח'' כולל ]]</f>
        <v>0</v>
      </c>
      <c r="AN109" s="666">
        <f>טבלה38[[#This Row],[ערב קטן 3]]*טבלה38[[#This Row],[מחיר ליח'' כולל ]]</f>
        <v>0</v>
      </c>
      <c r="AO109" s="666">
        <f>טבלה38[[#This Row],[קיטים מיוחדים]]*טבלה38[[#This Row],[מחיר ליח'' כולל ]]</f>
        <v>0</v>
      </c>
      <c r="AP109" s="666">
        <f>טבלה38[[#This Row],[תוספות]]*טבלה38[[#This Row],[מחיר ליח'' כולל ]]</f>
        <v>0</v>
      </c>
    </row>
    <row r="110" spans="2:42" ht="14.4">
      <c r="B110" s="651">
        <v>1910</v>
      </c>
      <c r="C110" s="650" t="s">
        <v>1154</v>
      </c>
      <c r="D110" s="650" t="s">
        <v>602</v>
      </c>
      <c r="E110" s="650"/>
      <c r="F110" s="649" t="str">
        <f>IF(טבלה38[[#This Row],[סה"כ]]&gt;0,טבלה38[[#This Row],[סה"כ]],"")</f>
        <v/>
      </c>
      <c r="G110" s="656">
        <v>0.17</v>
      </c>
      <c r="H110" s="655">
        <f>טבלה38[[#This Row],[מחיר]]+טבלה38[[#This Row],[% מע"מ]]*טבלה38[[#This Row],[מחיר]]</f>
        <v>0</v>
      </c>
      <c r="I110" s="630">
        <f>טבלה38[[#This Row],[סה"כ]]*טבלה38[[#This Row],[מחיר ליח'' כולל ]]</f>
        <v>0</v>
      </c>
      <c r="J110" s="655">
        <f>SUM(טבלה38[[#This Row],[פימת קפה]:[תוספות]])</f>
        <v>0</v>
      </c>
      <c r="K110" s="655">
        <f>SUMIF(טבלה11517[מקט],טבלה38[[#This Row],[קוד מוצר]],טבלה11517[כמות])</f>
        <v>0</v>
      </c>
      <c r="L110" s="655">
        <f>SUMIF(טבלה115179[מקט],טבלה38[[#This Row],[קוד מוצר]],טבלה115179[כמות])</f>
        <v>0</v>
      </c>
      <c r="M110" s="655">
        <f>SUMIF(טבלה115[מקט],טבלה38[[#This Row],[קוד מוצר]],טבלה115[כמות])</f>
        <v>0</v>
      </c>
      <c r="N110" s="655">
        <f>SUMIF(טבלה1[מק"ט],טבלה38[[#This Row],[קוד מוצר]],טבלה1[כמות])</f>
        <v>0</v>
      </c>
      <c r="O110" s="655">
        <f>SUMIF(טבלה8[מק"ט],טבלה38[[#This Row],[קוד מוצר]],טבלה8[הזמנה])</f>
        <v>0</v>
      </c>
      <c r="P110" s="655">
        <f>SUMIF(טבלה15[מק"ט],טבלה38[[#This Row],[קוד מוצר]],טבלה15[הזמנה])</f>
        <v>0</v>
      </c>
      <c r="Q110" s="655">
        <f>SUMIF(טבלה1151718[מקט],טבלה38[[#This Row],[קוד מוצר]],טבלה1151718[כמות])</f>
        <v>0</v>
      </c>
      <c r="R110" s="655">
        <f>SUMIF(טבלה125[מקט],טבלה38[[#This Row],[קוד מוצר]],טבלה125[כמות])</f>
        <v>0</v>
      </c>
      <c r="S110" s="655">
        <f>SUMIF(טבלה33[מק"ט],טבלה38[[#This Row],[קוד מוצר]],טבלה33[הזמנה])</f>
        <v>0</v>
      </c>
      <c r="T110" s="655">
        <f>SUMIF(טבלה34[עמודה1],טבלה38[[#This Row],[קוד מוצר]],טבלה34[הזמנה])</f>
        <v>0</v>
      </c>
      <c r="U110" s="655">
        <f>SUMIF(טבלה35[עמודה1],טבלה38[[#This Row],[קוד מוצר]],טבלה35[הזמנה])</f>
        <v>0</v>
      </c>
      <c r="V110" s="655">
        <f>SUMIF(טבלה3338[מק"ט],טבלה38[[#This Row],[קוד מוצר]],טבלה3338[הזמנה])</f>
        <v>0</v>
      </c>
      <c r="W110" s="655">
        <f>SUMIF(טבלה3540[עמודה1],טבלה38[[#This Row],[קוד מוצר]],טבלה3540[הזמנה])</f>
        <v>0</v>
      </c>
      <c r="X110" s="655">
        <f>SUMIF(טבלה3441[עמודה1],טבלה38[[#This Row],[קוד מוצר]],טבלה3441[הזמנה])</f>
        <v>0</v>
      </c>
      <c r="Y110" s="655">
        <f>SUMIF(טבלה24[מקט],טבלה38[[#This Row],[קוד מוצר]],טבלה24[כמות])</f>
        <v>0</v>
      </c>
      <c r="Z110" s="655">
        <f>SUMIF(טבלה628[קוד מוצר],טבלה38[[#This Row],[קוד מוצר]],טבלה628[תוספת])</f>
        <v>0</v>
      </c>
      <c r="AA110" s="610">
        <f>טבלה38[[#This Row],[פימת קפה]]*טבלה38[[#This Row],[מחיר ליח'' כולל ]]</f>
        <v>0</v>
      </c>
      <c r="AB110" s="610">
        <f>טבלה38[[#This Row],[פת שחרית]]*טבלה38[[#This Row],[מחיר ליח'' כולל ]]</f>
        <v>0</v>
      </c>
      <c r="AC110" s="610">
        <f>טבלה38[[#This Row],[א. בוקר פריסה]]*טבלה38[[#This Row],[מחיר ליח'' כולל ]]</f>
        <v>0</v>
      </c>
      <c r="AD110" s="666">
        <f>טבלה38[[#This Row],[א. צהררים פריסה ]]*טבלה38[[#This Row],[מחיר ליח'' כולל ]]</f>
        <v>0</v>
      </c>
      <c r="AE110" s="666">
        <f>טבלה38[[#This Row],[בוקר קיטים]]*טבלה38[[#This Row],[מחיר ליח'' כולל ]]</f>
        <v>0</v>
      </c>
      <c r="AF110" s="666">
        <f>טבלה38[[#This Row],[צהריים קיטים]]*טבלה38[[#This Row],[מחיר ליח'' כולל ]]</f>
        <v>0</v>
      </c>
      <c r="AG110" s="666">
        <f>טבלה38[[#This Row],[פריסת אמצע]]*טבלה38[[#This Row],[מחיר ליח'' כולל ]]</f>
        <v>0</v>
      </c>
      <c r="AH110" s="666">
        <f>טבלה38[[#This Row],[מרק]]*טבלה38[[#This Row],[מחיר ליח'' כולל ]]</f>
        <v>0</v>
      </c>
      <c r="AI110" s="666">
        <f>טבלה38[[#This Row],[ערב בישול 1]]*טבלה38[[#This Row],[מחיר ליח'' כולל ]]</f>
        <v>0</v>
      </c>
      <c r="AJ110" s="666">
        <f>טבלה38[[#This Row],[ערב בישול 2]]*טבלה38[[#This Row],[מחיר ליח'' כולל ]]</f>
        <v>0</v>
      </c>
      <c r="AK110" s="666">
        <f>טבלה38[[#This Row],[ערב בישול 3]]*טבלה38[[#This Row],[מחיר ליח'' כולל ]]</f>
        <v>0</v>
      </c>
      <c r="AL110" s="666">
        <f>טבלה38[[#This Row],[ערב קטן 1]]*טבלה38[[#This Row],[מחיר ליח'' כולל ]]</f>
        <v>0</v>
      </c>
      <c r="AM110" s="666">
        <f>טבלה38[[#This Row],[ערב קטן 2]]*טבלה38[[#This Row],[מחיר ליח'' כולל ]]</f>
        <v>0</v>
      </c>
      <c r="AN110" s="666">
        <f>טבלה38[[#This Row],[ערב קטן 3]]*טבלה38[[#This Row],[מחיר ליח'' כולל ]]</f>
        <v>0</v>
      </c>
      <c r="AO110" s="666">
        <f>טבלה38[[#This Row],[קיטים מיוחדים]]*טבלה38[[#This Row],[מחיר ליח'' כולל ]]</f>
        <v>0</v>
      </c>
      <c r="AP110" s="666">
        <f>טבלה38[[#This Row],[תוספות]]*טבלה38[[#This Row],[מחיר ליח'' כולל ]]</f>
        <v>0</v>
      </c>
    </row>
    <row r="111" spans="2:42" ht="14.4">
      <c r="B111" s="651">
        <v>2344</v>
      </c>
      <c r="C111" s="650" t="s">
        <v>1161</v>
      </c>
      <c r="D111" s="650" t="s">
        <v>602</v>
      </c>
      <c r="E111" s="650"/>
      <c r="F111" s="649" t="str">
        <f>IF(טבלה38[[#This Row],[סה"כ]]&gt;0,טבלה38[[#This Row],[סה"כ]],"")</f>
        <v/>
      </c>
      <c r="G111" s="656">
        <v>0.17</v>
      </c>
      <c r="H111" s="655">
        <f>טבלה38[[#This Row],[מחיר]]+טבלה38[[#This Row],[% מע"מ]]*טבלה38[[#This Row],[מחיר]]</f>
        <v>0</v>
      </c>
      <c r="I111" s="630">
        <f>טבלה38[[#This Row],[סה"כ]]*טבלה38[[#This Row],[מחיר ליח'' כולל ]]</f>
        <v>0</v>
      </c>
      <c r="J111" s="655">
        <f>SUM(טבלה38[[#This Row],[פימת קפה]:[תוספות]])</f>
        <v>0</v>
      </c>
      <c r="K111" s="655">
        <f>SUMIF(טבלה11517[מקט],טבלה38[[#This Row],[קוד מוצר]],טבלה11517[כמות])</f>
        <v>0</v>
      </c>
      <c r="L111" s="655">
        <f>SUMIF(טבלה115179[מקט],טבלה38[[#This Row],[קוד מוצר]],טבלה115179[כמות])</f>
        <v>0</v>
      </c>
      <c r="M111" s="655">
        <f>SUMIF(טבלה115[מקט],טבלה38[[#This Row],[קוד מוצר]],טבלה115[כמות])</f>
        <v>0</v>
      </c>
      <c r="N111" s="655">
        <f>SUMIF(טבלה1[מק"ט],טבלה38[[#This Row],[קוד מוצר]],טבלה1[כמות])</f>
        <v>0</v>
      </c>
      <c r="O111" s="655">
        <f>SUMIF(טבלה8[מק"ט],טבלה38[[#This Row],[קוד מוצר]],טבלה8[הזמנה])</f>
        <v>0</v>
      </c>
      <c r="P111" s="655">
        <f>SUMIF(טבלה15[מק"ט],טבלה38[[#This Row],[קוד מוצר]],טבלה15[הזמנה])</f>
        <v>0</v>
      </c>
      <c r="Q111" s="655">
        <f>SUMIF(טבלה1151718[מקט],טבלה38[[#This Row],[קוד מוצר]],טבלה1151718[כמות])</f>
        <v>0</v>
      </c>
      <c r="R111" s="655">
        <f>SUMIF(טבלה125[מקט],טבלה38[[#This Row],[קוד מוצר]],טבלה125[כמות])</f>
        <v>0</v>
      </c>
      <c r="S111" s="655">
        <f>SUMIF(טבלה33[מק"ט],טבלה38[[#This Row],[קוד מוצר]],טבלה33[הזמנה])</f>
        <v>0</v>
      </c>
      <c r="T111" s="655">
        <f>SUMIF(טבלה34[עמודה1],טבלה38[[#This Row],[קוד מוצר]],טבלה34[הזמנה])</f>
        <v>0</v>
      </c>
      <c r="U111" s="655">
        <f>SUMIF(טבלה35[עמודה1],טבלה38[[#This Row],[קוד מוצר]],טבלה35[הזמנה])</f>
        <v>0</v>
      </c>
      <c r="V111" s="655">
        <f>SUMIF(טבלה3338[מק"ט],טבלה38[[#This Row],[קוד מוצר]],טבלה3338[הזמנה])</f>
        <v>0</v>
      </c>
      <c r="W111" s="655">
        <f>SUMIF(טבלה3540[עמודה1],טבלה38[[#This Row],[קוד מוצר]],טבלה3540[הזמנה])</f>
        <v>0</v>
      </c>
      <c r="X111" s="655">
        <f>SUMIF(טבלה3441[עמודה1],טבלה38[[#This Row],[קוד מוצר]],טבלה3441[הזמנה])</f>
        <v>0</v>
      </c>
      <c r="Y111" s="655">
        <f>SUMIF(טבלה24[מקט],טבלה38[[#This Row],[קוד מוצר]],טבלה24[כמות])</f>
        <v>0</v>
      </c>
      <c r="Z111" s="655">
        <f>SUMIF(טבלה628[קוד מוצר],טבלה38[[#This Row],[קוד מוצר]],טבלה628[תוספת])</f>
        <v>0</v>
      </c>
      <c r="AA111" s="610">
        <f>טבלה38[[#This Row],[פימת קפה]]*טבלה38[[#This Row],[מחיר ליח'' כולל ]]</f>
        <v>0</v>
      </c>
      <c r="AB111" s="610">
        <f>טבלה38[[#This Row],[פת שחרית]]*טבלה38[[#This Row],[מחיר ליח'' כולל ]]</f>
        <v>0</v>
      </c>
      <c r="AC111" s="610">
        <f>טבלה38[[#This Row],[א. בוקר פריסה]]*טבלה38[[#This Row],[מחיר ליח'' כולל ]]</f>
        <v>0</v>
      </c>
      <c r="AD111" s="666">
        <f>טבלה38[[#This Row],[א. צהררים פריסה ]]*טבלה38[[#This Row],[מחיר ליח'' כולל ]]</f>
        <v>0</v>
      </c>
      <c r="AE111" s="666">
        <f>טבלה38[[#This Row],[בוקר קיטים]]*טבלה38[[#This Row],[מחיר ליח'' כולל ]]</f>
        <v>0</v>
      </c>
      <c r="AF111" s="666">
        <f>טבלה38[[#This Row],[צהריים קיטים]]*טבלה38[[#This Row],[מחיר ליח'' כולל ]]</f>
        <v>0</v>
      </c>
      <c r="AG111" s="666">
        <f>טבלה38[[#This Row],[פריסת אמצע]]*טבלה38[[#This Row],[מחיר ליח'' כולל ]]</f>
        <v>0</v>
      </c>
      <c r="AH111" s="666">
        <f>טבלה38[[#This Row],[מרק]]*טבלה38[[#This Row],[מחיר ליח'' כולל ]]</f>
        <v>0</v>
      </c>
      <c r="AI111" s="666">
        <f>טבלה38[[#This Row],[ערב בישול 1]]*טבלה38[[#This Row],[מחיר ליח'' כולל ]]</f>
        <v>0</v>
      </c>
      <c r="AJ111" s="666">
        <f>טבלה38[[#This Row],[ערב בישול 2]]*טבלה38[[#This Row],[מחיר ליח'' כולל ]]</f>
        <v>0</v>
      </c>
      <c r="AK111" s="666">
        <f>טבלה38[[#This Row],[ערב בישול 3]]*טבלה38[[#This Row],[מחיר ליח'' כולל ]]</f>
        <v>0</v>
      </c>
      <c r="AL111" s="666">
        <f>טבלה38[[#This Row],[ערב קטן 1]]*טבלה38[[#This Row],[מחיר ליח'' כולל ]]</f>
        <v>0</v>
      </c>
      <c r="AM111" s="666">
        <f>טבלה38[[#This Row],[ערב קטן 2]]*טבלה38[[#This Row],[מחיר ליח'' כולל ]]</f>
        <v>0</v>
      </c>
      <c r="AN111" s="666">
        <f>טבלה38[[#This Row],[ערב קטן 3]]*טבלה38[[#This Row],[מחיר ליח'' כולל ]]</f>
        <v>0</v>
      </c>
      <c r="AO111" s="666">
        <f>טבלה38[[#This Row],[קיטים מיוחדים]]*טבלה38[[#This Row],[מחיר ליח'' כולל ]]</f>
        <v>0</v>
      </c>
      <c r="AP111" s="666">
        <f>טבלה38[[#This Row],[תוספות]]*טבלה38[[#This Row],[מחיר ליח'' כולל ]]</f>
        <v>0</v>
      </c>
    </row>
    <row r="112" spans="2:42" ht="14.4">
      <c r="B112" s="651">
        <v>2493</v>
      </c>
      <c r="C112" s="650" t="s">
        <v>1157</v>
      </c>
      <c r="D112" s="650" t="s">
        <v>602</v>
      </c>
      <c r="E112" s="650"/>
      <c r="F112" s="649" t="str">
        <f>IF(טבלה38[[#This Row],[סה"כ]]&gt;0,טבלה38[[#This Row],[סה"כ]],"")</f>
        <v/>
      </c>
      <c r="G112" s="656">
        <v>0.17</v>
      </c>
      <c r="H112" s="655">
        <f>טבלה38[[#This Row],[מחיר]]+טבלה38[[#This Row],[% מע"מ]]*טבלה38[[#This Row],[מחיר]]</f>
        <v>0</v>
      </c>
      <c r="I112" s="630">
        <f>טבלה38[[#This Row],[סה"כ]]*טבלה38[[#This Row],[מחיר ליח'' כולל ]]</f>
        <v>0</v>
      </c>
      <c r="J112" s="655">
        <f>SUM(טבלה38[[#This Row],[פימת קפה]:[תוספות]])</f>
        <v>0</v>
      </c>
      <c r="K112" s="655">
        <f>SUMIF(טבלה11517[מקט],טבלה38[[#This Row],[קוד מוצר]],טבלה11517[כמות])</f>
        <v>0</v>
      </c>
      <c r="L112" s="655">
        <f>SUMIF(טבלה115179[מקט],טבלה38[[#This Row],[קוד מוצר]],טבלה115179[כמות])</f>
        <v>0</v>
      </c>
      <c r="M112" s="655">
        <f>SUMIF(טבלה115[מקט],טבלה38[[#This Row],[קוד מוצר]],טבלה115[כמות])</f>
        <v>0</v>
      </c>
      <c r="N112" s="655">
        <f>SUMIF(טבלה1[מק"ט],טבלה38[[#This Row],[קוד מוצר]],טבלה1[כמות])</f>
        <v>0</v>
      </c>
      <c r="O112" s="655">
        <f>SUMIF(טבלה8[מק"ט],טבלה38[[#This Row],[קוד מוצר]],טבלה8[הזמנה])</f>
        <v>0</v>
      </c>
      <c r="P112" s="655">
        <f>SUMIF(טבלה15[מק"ט],טבלה38[[#This Row],[קוד מוצר]],טבלה15[הזמנה])</f>
        <v>0</v>
      </c>
      <c r="Q112" s="655">
        <f>SUMIF(טבלה1151718[מקט],טבלה38[[#This Row],[קוד מוצר]],טבלה1151718[כמות])</f>
        <v>0</v>
      </c>
      <c r="R112" s="655">
        <f>SUMIF(טבלה125[מקט],טבלה38[[#This Row],[קוד מוצר]],טבלה125[כמות])</f>
        <v>0</v>
      </c>
      <c r="S112" s="655">
        <f>SUMIF(טבלה33[מק"ט],טבלה38[[#This Row],[קוד מוצר]],טבלה33[הזמנה])</f>
        <v>0</v>
      </c>
      <c r="T112" s="655">
        <f>SUMIF(טבלה34[עמודה1],טבלה38[[#This Row],[קוד מוצר]],טבלה34[הזמנה])</f>
        <v>0</v>
      </c>
      <c r="U112" s="655">
        <f>SUMIF(טבלה35[עמודה1],טבלה38[[#This Row],[קוד מוצר]],טבלה35[הזמנה])</f>
        <v>0</v>
      </c>
      <c r="V112" s="655">
        <f>SUMIF(טבלה3338[מק"ט],טבלה38[[#This Row],[קוד מוצר]],טבלה3338[הזמנה])</f>
        <v>0</v>
      </c>
      <c r="W112" s="655">
        <f>SUMIF(טבלה3540[עמודה1],טבלה38[[#This Row],[קוד מוצר]],טבלה3540[הזמנה])</f>
        <v>0</v>
      </c>
      <c r="X112" s="655">
        <f>SUMIF(טבלה3441[עמודה1],טבלה38[[#This Row],[קוד מוצר]],טבלה3441[הזמנה])</f>
        <v>0</v>
      </c>
      <c r="Y112" s="655">
        <f>SUMIF(טבלה24[מקט],טבלה38[[#This Row],[קוד מוצר]],טבלה24[כמות])</f>
        <v>0</v>
      </c>
      <c r="Z112" s="655">
        <f>SUMIF(טבלה628[קוד מוצר],טבלה38[[#This Row],[קוד מוצר]],טבלה628[תוספת])</f>
        <v>0</v>
      </c>
      <c r="AA112" s="610">
        <f>טבלה38[[#This Row],[פימת קפה]]*טבלה38[[#This Row],[מחיר ליח'' כולל ]]</f>
        <v>0</v>
      </c>
      <c r="AB112" s="610">
        <f>טבלה38[[#This Row],[פת שחרית]]*טבלה38[[#This Row],[מחיר ליח'' כולל ]]</f>
        <v>0</v>
      </c>
      <c r="AC112" s="610">
        <f>טבלה38[[#This Row],[א. בוקר פריסה]]*טבלה38[[#This Row],[מחיר ליח'' כולל ]]</f>
        <v>0</v>
      </c>
      <c r="AD112" s="666">
        <f>טבלה38[[#This Row],[א. צהררים פריסה ]]*טבלה38[[#This Row],[מחיר ליח'' כולל ]]</f>
        <v>0</v>
      </c>
      <c r="AE112" s="666">
        <f>טבלה38[[#This Row],[בוקר קיטים]]*טבלה38[[#This Row],[מחיר ליח'' כולל ]]</f>
        <v>0</v>
      </c>
      <c r="AF112" s="666">
        <f>טבלה38[[#This Row],[צהריים קיטים]]*טבלה38[[#This Row],[מחיר ליח'' כולל ]]</f>
        <v>0</v>
      </c>
      <c r="AG112" s="666">
        <f>טבלה38[[#This Row],[פריסת אמצע]]*טבלה38[[#This Row],[מחיר ליח'' כולל ]]</f>
        <v>0</v>
      </c>
      <c r="AH112" s="666">
        <f>טבלה38[[#This Row],[מרק]]*טבלה38[[#This Row],[מחיר ליח'' כולל ]]</f>
        <v>0</v>
      </c>
      <c r="AI112" s="666">
        <f>טבלה38[[#This Row],[ערב בישול 1]]*טבלה38[[#This Row],[מחיר ליח'' כולל ]]</f>
        <v>0</v>
      </c>
      <c r="AJ112" s="666">
        <f>טבלה38[[#This Row],[ערב בישול 2]]*טבלה38[[#This Row],[מחיר ליח'' כולל ]]</f>
        <v>0</v>
      </c>
      <c r="AK112" s="666">
        <f>טבלה38[[#This Row],[ערב בישול 3]]*טבלה38[[#This Row],[מחיר ליח'' כולל ]]</f>
        <v>0</v>
      </c>
      <c r="AL112" s="666">
        <f>טבלה38[[#This Row],[ערב קטן 1]]*טבלה38[[#This Row],[מחיר ליח'' כולל ]]</f>
        <v>0</v>
      </c>
      <c r="AM112" s="666">
        <f>טבלה38[[#This Row],[ערב קטן 2]]*טבלה38[[#This Row],[מחיר ליח'' כולל ]]</f>
        <v>0</v>
      </c>
      <c r="AN112" s="666">
        <f>טבלה38[[#This Row],[ערב קטן 3]]*טבלה38[[#This Row],[מחיר ליח'' כולל ]]</f>
        <v>0</v>
      </c>
      <c r="AO112" s="666">
        <f>טבלה38[[#This Row],[קיטים מיוחדים]]*טבלה38[[#This Row],[מחיר ליח'' כולל ]]</f>
        <v>0</v>
      </c>
      <c r="AP112" s="666">
        <f>טבלה38[[#This Row],[תוספות]]*טבלה38[[#This Row],[מחיר ליח'' כולל ]]</f>
        <v>0</v>
      </c>
    </row>
    <row r="113" spans="2:42" ht="14.4">
      <c r="B113" s="651">
        <v>3275</v>
      </c>
      <c r="C113" s="650" t="s">
        <v>1077</v>
      </c>
      <c r="D113" s="650" t="s">
        <v>602</v>
      </c>
      <c r="E113" s="650"/>
      <c r="F113" s="649" t="str">
        <f>IF(טבלה38[[#This Row],[סה"כ]]&gt;0,טבלה38[[#This Row],[סה"כ]],"")</f>
        <v/>
      </c>
      <c r="G113" s="656">
        <v>0.17</v>
      </c>
      <c r="H113" s="655">
        <f>טבלה38[[#This Row],[מחיר]]+טבלה38[[#This Row],[% מע"מ]]*טבלה38[[#This Row],[מחיר]]</f>
        <v>0</v>
      </c>
      <c r="I113" s="630">
        <f>טבלה38[[#This Row],[סה"כ]]*טבלה38[[#This Row],[מחיר ליח'' כולל ]]</f>
        <v>0</v>
      </c>
      <c r="J113" s="655">
        <f>SUM(טבלה38[[#This Row],[פימת קפה]:[תוספות]])</f>
        <v>0</v>
      </c>
      <c r="K113" s="655">
        <f>SUMIF(טבלה11517[מקט],טבלה38[[#This Row],[קוד מוצר]],טבלה11517[כמות])</f>
        <v>0</v>
      </c>
      <c r="L113" s="655">
        <f>SUMIF(טבלה115179[מקט],טבלה38[[#This Row],[קוד מוצר]],טבלה115179[כמות])</f>
        <v>0</v>
      </c>
      <c r="M113" s="655">
        <f>SUMIF(טבלה115[מקט],טבלה38[[#This Row],[קוד מוצר]],טבלה115[כמות])</f>
        <v>0</v>
      </c>
      <c r="N113" s="655">
        <f>SUMIF(טבלה1[מק"ט],טבלה38[[#This Row],[קוד מוצר]],טבלה1[כמות])</f>
        <v>0</v>
      </c>
      <c r="O113" s="655">
        <f>SUMIF(טבלה8[מק"ט],טבלה38[[#This Row],[קוד מוצר]],טבלה8[הזמנה])</f>
        <v>0</v>
      </c>
      <c r="P113" s="655">
        <f>SUMIF(טבלה15[מק"ט],טבלה38[[#This Row],[קוד מוצר]],טבלה15[הזמנה])</f>
        <v>0</v>
      </c>
      <c r="Q113" s="655">
        <f>SUMIF(טבלה1151718[מקט],טבלה38[[#This Row],[קוד מוצר]],טבלה1151718[כמות])</f>
        <v>0</v>
      </c>
      <c r="R113" s="655">
        <f>SUMIF(טבלה125[מקט],טבלה38[[#This Row],[קוד מוצר]],טבלה125[כמות])</f>
        <v>0</v>
      </c>
      <c r="S113" s="655">
        <f>SUMIF(טבלה33[מק"ט],טבלה38[[#This Row],[קוד מוצר]],טבלה33[הזמנה])</f>
        <v>0</v>
      </c>
      <c r="T113" s="655">
        <f>SUMIF(טבלה34[עמודה1],טבלה38[[#This Row],[קוד מוצר]],טבלה34[הזמנה])</f>
        <v>0</v>
      </c>
      <c r="U113" s="655">
        <f>SUMIF(טבלה35[עמודה1],טבלה38[[#This Row],[קוד מוצר]],טבלה35[הזמנה])</f>
        <v>0</v>
      </c>
      <c r="V113" s="655">
        <f>SUMIF(טבלה3338[מק"ט],טבלה38[[#This Row],[קוד מוצר]],טבלה3338[הזמנה])</f>
        <v>0</v>
      </c>
      <c r="W113" s="655">
        <f>SUMIF(טבלה3540[עמודה1],טבלה38[[#This Row],[קוד מוצר]],טבלה3540[הזמנה])</f>
        <v>0</v>
      </c>
      <c r="X113" s="655">
        <f>SUMIF(טבלה3441[עמודה1],טבלה38[[#This Row],[קוד מוצר]],טבלה3441[הזמנה])</f>
        <v>0</v>
      </c>
      <c r="Y113" s="655">
        <f>SUMIF(טבלה24[מקט],טבלה38[[#This Row],[קוד מוצר]],טבלה24[כמות])</f>
        <v>0</v>
      </c>
      <c r="Z113" s="655">
        <f>SUMIF(טבלה628[קוד מוצר],טבלה38[[#This Row],[קוד מוצר]],טבלה628[תוספת])</f>
        <v>0</v>
      </c>
      <c r="AA113" s="610">
        <f>טבלה38[[#This Row],[פימת קפה]]*טבלה38[[#This Row],[מחיר ליח'' כולל ]]</f>
        <v>0</v>
      </c>
      <c r="AB113" s="610">
        <f>טבלה38[[#This Row],[פת שחרית]]*טבלה38[[#This Row],[מחיר ליח'' כולל ]]</f>
        <v>0</v>
      </c>
      <c r="AC113" s="610">
        <f>טבלה38[[#This Row],[א. בוקר פריסה]]*טבלה38[[#This Row],[מחיר ליח'' כולל ]]</f>
        <v>0</v>
      </c>
      <c r="AD113" s="666">
        <f>טבלה38[[#This Row],[א. צהררים פריסה ]]*טבלה38[[#This Row],[מחיר ליח'' כולל ]]</f>
        <v>0</v>
      </c>
      <c r="AE113" s="666">
        <f>טבלה38[[#This Row],[בוקר קיטים]]*טבלה38[[#This Row],[מחיר ליח'' כולל ]]</f>
        <v>0</v>
      </c>
      <c r="AF113" s="666">
        <f>טבלה38[[#This Row],[צהריים קיטים]]*טבלה38[[#This Row],[מחיר ליח'' כולל ]]</f>
        <v>0</v>
      </c>
      <c r="AG113" s="666">
        <f>טבלה38[[#This Row],[פריסת אמצע]]*טבלה38[[#This Row],[מחיר ליח'' כולל ]]</f>
        <v>0</v>
      </c>
      <c r="AH113" s="666">
        <f>טבלה38[[#This Row],[מרק]]*טבלה38[[#This Row],[מחיר ליח'' כולל ]]</f>
        <v>0</v>
      </c>
      <c r="AI113" s="666">
        <f>טבלה38[[#This Row],[ערב בישול 1]]*טבלה38[[#This Row],[מחיר ליח'' כולל ]]</f>
        <v>0</v>
      </c>
      <c r="AJ113" s="666">
        <f>טבלה38[[#This Row],[ערב בישול 2]]*טבלה38[[#This Row],[מחיר ליח'' כולל ]]</f>
        <v>0</v>
      </c>
      <c r="AK113" s="666">
        <f>טבלה38[[#This Row],[ערב בישול 3]]*טבלה38[[#This Row],[מחיר ליח'' כולל ]]</f>
        <v>0</v>
      </c>
      <c r="AL113" s="666">
        <f>טבלה38[[#This Row],[ערב קטן 1]]*טבלה38[[#This Row],[מחיר ליח'' כולל ]]</f>
        <v>0</v>
      </c>
      <c r="AM113" s="666">
        <f>טבלה38[[#This Row],[ערב קטן 2]]*טבלה38[[#This Row],[מחיר ליח'' כולל ]]</f>
        <v>0</v>
      </c>
      <c r="AN113" s="666">
        <f>טבלה38[[#This Row],[ערב קטן 3]]*טבלה38[[#This Row],[מחיר ליח'' כולל ]]</f>
        <v>0</v>
      </c>
      <c r="AO113" s="666">
        <f>טבלה38[[#This Row],[קיטים מיוחדים]]*טבלה38[[#This Row],[מחיר ליח'' כולל ]]</f>
        <v>0</v>
      </c>
      <c r="AP113" s="666">
        <f>טבלה38[[#This Row],[תוספות]]*טבלה38[[#This Row],[מחיר ליח'' כולל ]]</f>
        <v>0</v>
      </c>
    </row>
    <row r="114" spans="2:42" ht="14.4">
      <c r="B114" s="651">
        <v>4368</v>
      </c>
      <c r="C114" s="650" t="s">
        <v>1152</v>
      </c>
      <c r="D114" s="650" t="s">
        <v>602</v>
      </c>
      <c r="E114" s="650"/>
      <c r="F114" s="649" t="str">
        <f>IF(טבלה38[[#This Row],[סה"כ]]&gt;0,טבלה38[[#This Row],[סה"כ]],"")</f>
        <v/>
      </c>
      <c r="G114" s="656">
        <v>0.17</v>
      </c>
      <c r="H114" s="655">
        <f>טבלה38[[#This Row],[מחיר]]+טבלה38[[#This Row],[% מע"מ]]*טבלה38[[#This Row],[מחיר]]</f>
        <v>0</v>
      </c>
      <c r="I114" s="630">
        <f>טבלה38[[#This Row],[סה"כ]]*טבלה38[[#This Row],[מחיר ליח'' כולל ]]</f>
        <v>0</v>
      </c>
      <c r="J114" s="655">
        <f>SUM(טבלה38[[#This Row],[פימת קפה]:[תוספות]])</f>
        <v>0</v>
      </c>
      <c r="K114" s="655">
        <f>SUMIF(טבלה11517[מקט],טבלה38[[#This Row],[קוד מוצר]],טבלה11517[כמות])</f>
        <v>0</v>
      </c>
      <c r="L114" s="655">
        <f>SUMIF(טבלה115179[מקט],טבלה38[[#This Row],[קוד מוצר]],טבלה115179[כמות])</f>
        <v>0</v>
      </c>
      <c r="M114" s="655">
        <f>SUMIF(טבלה115[מקט],טבלה38[[#This Row],[קוד מוצר]],טבלה115[כמות])</f>
        <v>0</v>
      </c>
      <c r="N114" s="655">
        <f>SUMIF(טבלה1[מק"ט],טבלה38[[#This Row],[קוד מוצר]],טבלה1[כמות])</f>
        <v>0</v>
      </c>
      <c r="O114" s="655">
        <f>SUMIF(טבלה8[מק"ט],טבלה38[[#This Row],[קוד מוצר]],טבלה8[הזמנה])</f>
        <v>0</v>
      </c>
      <c r="P114" s="655">
        <f>SUMIF(טבלה15[מק"ט],טבלה38[[#This Row],[קוד מוצר]],טבלה15[הזמנה])</f>
        <v>0</v>
      </c>
      <c r="Q114" s="655">
        <f>SUMIF(טבלה1151718[מקט],טבלה38[[#This Row],[קוד מוצר]],טבלה1151718[כמות])</f>
        <v>0</v>
      </c>
      <c r="R114" s="655">
        <f>SUMIF(טבלה125[מקט],טבלה38[[#This Row],[קוד מוצר]],טבלה125[כמות])</f>
        <v>0</v>
      </c>
      <c r="S114" s="655">
        <f>SUMIF(טבלה33[מק"ט],טבלה38[[#This Row],[קוד מוצר]],טבלה33[הזמנה])</f>
        <v>0</v>
      </c>
      <c r="T114" s="655">
        <f>SUMIF(טבלה34[עמודה1],טבלה38[[#This Row],[קוד מוצר]],טבלה34[הזמנה])</f>
        <v>0</v>
      </c>
      <c r="U114" s="655">
        <f>SUMIF(טבלה35[עמודה1],טבלה38[[#This Row],[קוד מוצר]],טבלה35[הזמנה])</f>
        <v>0</v>
      </c>
      <c r="V114" s="655">
        <f>SUMIF(טבלה3338[מק"ט],טבלה38[[#This Row],[קוד מוצר]],טבלה3338[הזמנה])</f>
        <v>0</v>
      </c>
      <c r="W114" s="655">
        <f>SUMIF(טבלה3540[עמודה1],טבלה38[[#This Row],[קוד מוצר]],טבלה3540[הזמנה])</f>
        <v>0</v>
      </c>
      <c r="X114" s="655">
        <f>SUMIF(טבלה3441[עמודה1],טבלה38[[#This Row],[קוד מוצר]],טבלה3441[הזמנה])</f>
        <v>0</v>
      </c>
      <c r="Y114" s="655">
        <f>SUMIF(טבלה24[מקט],טבלה38[[#This Row],[קוד מוצר]],טבלה24[כמות])</f>
        <v>0</v>
      </c>
      <c r="Z114" s="655">
        <f>SUMIF(טבלה628[קוד מוצר],טבלה38[[#This Row],[קוד מוצר]],טבלה628[תוספת])</f>
        <v>0</v>
      </c>
      <c r="AA114" s="610">
        <f>טבלה38[[#This Row],[פימת קפה]]*טבלה38[[#This Row],[מחיר ליח'' כולל ]]</f>
        <v>0</v>
      </c>
      <c r="AB114" s="610">
        <f>טבלה38[[#This Row],[פת שחרית]]*טבלה38[[#This Row],[מחיר ליח'' כולל ]]</f>
        <v>0</v>
      </c>
      <c r="AC114" s="610">
        <f>טבלה38[[#This Row],[א. בוקר פריסה]]*טבלה38[[#This Row],[מחיר ליח'' כולל ]]</f>
        <v>0</v>
      </c>
      <c r="AD114" s="666">
        <f>טבלה38[[#This Row],[א. צהררים פריסה ]]*טבלה38[[#This Row],[מחיר ליח'' כולל ]]</f>
        <v>0</v>
      </c>
      <c r="AE114" s="666">
        <f>טבלה38[[#This Row],[בוקר קיטים]]*טבלה38[[#This Row],[מחיר ליח'' כולל ]]</f>
        <v>0</v>
      </c>
      <c r="AF114" s="666">
        <f>טבלה38[[#This Row],[צהריים קיטים]]*טבלה38[[#This Row],[מחיר ליח'' כולל ]]</f>
        <v>0</v>
      </c>
      <c r="AG114" s="666">
        <f>טבלה38[[#This Row],[פריסת אמצע]]*טבלה38[[#This Row],[מחיר ליח'' כולל ]]</f>
        <v>0</v>
      </c>
      <c r="AH114" s="666">
        <f>טבלה38[[#This Row],[מרק]]*טבלה38[[#This Row],[מחיר ליח'' כולל ]]</f>
        <v>0</v>
      </c>
      <c r="AI114" s="666">
        <f>טבלה38[[#This Row],[ערב בישול 1]]*טבלה38[[#This Row],[מחיר ליח'' כולל ]]</f>
        <v>0</v>
      </c>
      <c r="AJ114" s="666">
        <f>טבלה38[[#This Row],[ערב בישול 2]]*טבלה38[[#This Row],[מחיר ליח'' כולל ]]</f>
        <v>0</v>
      </c>
      <c r="AK114" s="666">
        <f>טבלה38[[#This Row],[ערב בישול 3]]*טבלה38[[#This Row],[מחיר ליח'' כולל ]]</f>
        <v>0</v>
      </c>
      <c r="AL114" s="666">
        <f>טבלה38[[#This Row],[ערב קטן 1]]*טבלה38[[#This Row],[מחיר ליח'' כולל ]]</f>
        <v>0</v>
      </c>
      <c r="AM114" s="666">
        <f>טבלה38[[#This Row],[ערב קטן 2]]*טבלה38[[#This Row],[מחיר ליח'' כולל ]]</f>
        <v>0</v>
      </c>
      <c r="AN114" s="666">
        <f>טבלה38[[#This Row],[ערב קטן 3]]*טבלה38[[#This Row],[מחיר ליח'' כולל ]]</f>
        <v>0</v>
      </c>
      <c r="AO114" s="666">
        <f>טבלה38[[#This Row],[קיטים מיוחדים]]*טבלה38[[#This Row],[מחיר ליח'' כולל ]]</f>
        <v>0</v>
      </c>
      <c r="AP114" s="666">
        <f>טבלה38[[#This Row],[תוספות]]*טבלה38[[#This Row],[מחיר ליח'' כולל ]]</f>
        <v>0</v>
      </c>
    </row>
    <row r="115" spans="2:42" ht="14.4">
      <c r="B115" s="651">
        <v>4607</v>
      </c>
      <c r="C115" s="650" t="s">
        <v>937</v>
      </c>
      <c r="D115" s="650" t="s">
        <v>602</v>
      </c>
      <c r="E115" s="650"/>
      <c r="F115" s="649" t="str">
        <f>IF(טבלה38[[#This Row],[סה"כ]]&gt;0,טבלה38[[#This Row],[סה"כ]],"")</f>
        <v/>
      </c>
      <c r="G115" s="656">
        <v>0.17</v>
      </c>
      <c r="H115" s="655">
        <f>טבלה38[[#This Row],[מחיר]]+טבלה38[[#This Row],[% מע"מ]]*טבלה38[[#This Row],[מחיר]]</f>
        <v>0</v>
      </c>
      <c r="I115" s="630">
        <f>טבלה38[[#This Row],[סה"כ]]*טבלה38[[#This Row],[מחיר ליח'' כולל ]]</f>
        <v>0</v>
      </c>
      <c r="J115" s="655">
        <f>SUM(טבלה38[[#This Row],[פימת קפה]:[תוספות]])</f>
        <v>0</v>
      </c>
      <c r="K115" s="655">
        <f>SUMIF(טבלה11517[מקט],טבלה38[[#This Row],[קוד מוצר]],טבלה11517[כמות])</f>
        <v>0</v>
      </c>
      <c r="L115" s="655">
        <f>SUMIF(טבלה115179[מקט],טבלה38[[#This Row],[קוד מוצר]],טבלה115179[כמות])</f>
        <v>0</v>
      </c>
      <c r="M115" s="655">
        <f>SUMIF(טבלה115[מקט],טבלה38[[#This Row],[קוד מוצר]],טבלה115[כמות])</f>
        <v>0</v>
      </c>
      <c r="N115" s="655">
        <f>SUMIF(טבלה1[מק"ט],טבלה38[[#This Row],[קוד מוצר]],טבלה1[כמות])</f>
        <v>0</v>
      </c>
      <c r="O115" s="655">
        <f>SUMIF(טבלה8[מק"ט],טבלה38[[#This Row],[קוד מוצר]],טבלה8[הזמנה])</f>
        <v>0</v>
      </c>
      <c r="P115" s="655">
        <f>SUMIF(טבלה15[מק"ט],טבלה38[[#This Row],[קוד מוצר]],טבלה15[הזמנה])</f>
        <v>0</v>
      </c>
      <c r="Q115" s="655">
        <f>SUMIF(טבלה1151718[מקט],טבלה38[[#This Row],[קוד מוצר]],טבלה1151718[כמות])</f>
        <v>0</v>
      </c>
      <c r="R115" s="655">
        <f>SUMIF(טבלה125[מקט],טבלה38[[#This Row],[קוד מוצר]],טבלה125[כמות])</f>
        <v>0</v>
      </c>
      <c r="S115" s="655">
        <f>SUMIF(טבלה33[מק"ט],טבלה38[[#This Row],[קוד מוצר]],טבלה33[הזמנה])</f>
        <v>0</v>
      </c>
      <c r="T115" s="655">
        <f>SUMIF(טבלה34[עמודה1],טבלה38[[#This Row],[קוד מוצר]],טבלה34[הזמנה])</f>
        <v>0</v>
      </c>
      <c r="U115" s="655">
        <f>SUMIF(טבלה35[עמודה1],טבלה38[[#This Row],[קוד מוצר]],טבלה35[הזמנה])</f>
        <v>0</v>
      </c>
      <c r="V115" s="655">
        <f>SUMIF(טבלה3338[מק"ט],טבלה38[[#This Row],[קוד מוצר]],טבלה3338[הזמנה])</f>
        <v>0</v>
      </c>
      <c r="W115" s="655">
        <f>SUMIF(טבלה3540[עמודה1],טבלה38[[#This Row],[קוד מוצר]],טבלה3540[הזמנה])</f>
        <v>0</v>
      </c>
      <c r="X115" s="655">
        <f>SUMIF(טבלה3441[עמודה1],טבלה38[[#This Row],[קוד מוצר]],טבלה3441[הזמנה])</f>
        <v>0</v>
      </c>
      <c r="Y115" s="655">
        <f>SUMIF(טבלה24[מקט],טבלה38[[#This Row],[קוד מוצר]],טבלה24[כמות])</f>
        <v>0</v>
      </c>
      <c r="Z115" s="655">
        <f>SUMIF(טבלה628[קוד מוצר],טבלה38[[#This Row],[קוד מוצר]],טבלה628[תוספת])</f>
        <v>0</v>
      </c>
      <c r="AA115" s="610">
        <f>טבלה38[[#This Row],[פימת קפה]]*טבלה38[[#This Row],[מחיר ליח'' כולל ]]</f>
        <v>0</v>
      </c>
      <c r="AB115" s="610">
        <f>טבלה38[[#This Row],[פת שחרית]]*טבלה38[[#This Row],[מחיר ליח'' כולל ]]</f>
        <v>0</v>
      </c>
      <c r="AC115" s="610">
        <f>טבלה38[[#This Row],[א. בוקר פריסה]]*טבלה38[[#This Row],[מחיר ליח'' כולל ]]</f>
        <v>0</v>
      </c>
      <c r="AD115" s="666">
        <f>טבלה38[[#This Row],[א. צהררים פריסה ]]*טבלה38[[#This Row],[מחיר ליח'' כולל ]]</f>
        <v>0</v>
      </c>
      <c r="AE115" s="666">
        <f>טבלה38[[#This Row],[בוקר קיטים]]*טבלה38[[#This Row],[מחיר ליח'' כולל ]]</f>
        <v>0</v>
      </c>
      <c r="AF115" s="666">
        <f>טבלה38[[#This Row],[צהריים קיטים]]*טבלה38[[#This Row],[מחיר ליח'' כולל ]]</f>
        <v>0</v>
      </c>
      <c r="AG115" s="666">
        <f>טבלה38[[#This Row],[פריסת אמצע]]*טבלה38[[#This Row],[מחיר ליח'' כולל ]]</f>
        <v>0</v>
      </c>
      <c r="AH115" s="666">
        <f>טבלה38[[#This Row],[מרק]]*טבלה38[[#This Row],[מחיר ליח'' כולל ]]</f>
        <v>0</v>
      </c>
      <c r="AI115" s="666">
        <f>טבלה38[[#This Row],[ערב בישול 1]]*טבלה38[[#This Row],[מחיר ליח'' כולל ]]</f>
        <v>0</v>
      </c>
      <c r="AJ115" s="666">
        <f>טבלה38[[#This Row],[ערב בישול 2]]*טבלה38[[#This Row],[מחיר ליח'' כולל ]]</f>
        <v>0</v>
      </c>
      <c r="AK115" s="666">
        <f>טבלה38[[#This Row],[ערב בישול 3]]*טבלה38[[#This Row],[מחיר ליח'' כולל ]]</f>
        <v>0</v>
      </c>
      <c r="AL115" s="666">
        <f>טבלה38[[#This Row],[ערב קטן 1]]*טבלה38[[#This Row],[מחיר ליח'' כולל ]]</f>
        <v>0</v>
      </c>
      <c r="AM115" s="666">
        <f>טבלה38[[#This Row],[ערב קטן 2]]*טבלה38[[#This Row],[מחיר ליח'' כולל ]]</f>
        <v>0</v>
      </c>
      <c r="AN115" s="666">
        <f>טבלה38[[#This Row],[ערב קטן 3]]*טבלה38[[#This Row],[מחיר ליח'' כולל ]]</f>
        <v>0</v>
      </c>
      <c r="AO115" s="666">
        <f>טבלה38[[#This Row],[קיטים מיוחדים]]*טבלה38[[#This Row],[מחיר ליח'' כולל ]]</f>
        <v>0</v>
      </c>
      <c r="AP115" s="666">
        <f>טבלה38[[#This Row],[תוספות]]*טבלה38[[#This Row],[מחיר ליח'' כולל ]]</f>
        <v>0</v>
      </c>
    </row>
    <row r="116" spans="2:42" ht="14.4">
      <c r="B116" s="651">
        <v>4680</v>
      </c>
      <c r="C116" s="650" t="s">
        <v>1033</v>
      </c>
      <c r="E116" s="650"/>
      <c r="F116" s="649" t="str">
        <f>IF(טבלה38[[#This Row],[סה"כ]]&gt;0,טבלה38[[#This Row],[סה"כ]],"")</f>
        <v/>
      </c>
      <c r="G116" s="656">
        <v>0.17</v>
      </c>
      <c r="H116" s="655">
        <f>טבלה38[[#This Row],[מחיר]]+טבלה38[[#This Row],[% מע"מ]]*טבלה38[[#This Row],[מחיר]]</f>
        <v>0</v>
      </c>
      <c r="I116" s="630">
        <f>טבלה38[[#This Row],[סה"כ]]*טבלה38[[#This Row],[מחיר ליח'' כולל ]]</f>
        <v>0</v>
      </c>
      <c r="J116" s="655">
        <f>SUM(טבלה38[[#This Row],[פימת קפה]:[תוספות]])</f>
        <v>0</v>
      </c>
      <c r="K116" s="655">
        <f>SUMIF(טבלה11517[מקט],טבלה38[[#This Row],[קוד מוצר]],טבלה11517[כמות])</f>
        <v>0</v>
      </c>
      <c r="L116" s="655">
        <f>SUMIF(טבלה115179[מקט],טבלה38[[#This Row],[קוד מוצר]],טבלה115179[כמות])</f>
        <v>0</v>
      </c>
      <c r="M116" s="655">
        <f>SUMIF(טבלה115[מקט],טבלה38[[#This Row],[קוד מוצר]],טבלה115[כמות])</f>
        <v>0</v>
      </c>
      <c r="N116" s="655">
        <f>SUMIF(טבלה1[מק"ט],טבלה38[[#This Row],[קוד מוצר]],טבלה1[כמות])</f>
        <v>0</v>
      </c>
      <c r="O116" s="655">
        <f>SUMIF(טבלה8[מק"ט],טבלה38[[#This Row],[קוד מוצר]],טבלה8[הזמנה])</f>
        <v>0</v>
      </c>
      <c r="P116" s="655">
        <f>SUMIF(טבלה15[מק"ט],טבלה38[[#This Row],[קוד מוצר]],טבלה15[הזמנה])</f>
        <v>0</v>
      </c>
      <c r="Q116" s="655">
        <f>SUMIF(טבלה1151718[מקט],טבלה38[[#This Row],[קוד מוצר]],טבלה1151718[כמות])</f>
        <v>0</v>
      </c>
      <c r="R116" s="655">
        <f>SUMIF(טבלה125[מקט],טבלה38[[#This Row],[קוד מוצר]],טבלה125[כמות])</f>
        <v>0</v>
      </c>
      <c r="S116" s="655">
        <f>SUMIF(טבלה33[מק"ט],טבלה38[[#This Row],[קוד מוצר]],טבלה33[הזמנה])</f>
        <v>0</v>
      </c>
      <c r="T116" s="655">
        <f>SUMIF(טבלה34[עמודה1],טבלה38[[#This Row],[קוד מוצר]],טבלה34[הזמנה])</f>
        <v>0</v>
      </c>
      <c r="U116" s="655">
        <f>SUMIF(טבלה35[עמודה1],טבלה38[[#This Row],[קוד מוצר]],טבלה35[הזמנה])</f>
        <v>0</v>
      </c>
      <c r="V116" s="655">
        <f>SUMIF(טבלה3338[מק"ט],טבלה38[[#This Row],[קוד מוצר]],טבלה3338[הזמנה])</f>
        <v>0</v>
      </c>
      <c r="W116" s="655">
        <f>SUMIF(טבלה3540[עמודה1],טבלה38[[#This Row],[קוד מוצר]],טבלה3540[הזמנה])</f>
        <v>0</v>
      </c>
      <c r="X116" s="655">
        <f>SUMIF(טבלה3441[עמודה1],טבלה38[[#This Row],[קוד מוצר]],טבלה3441[הזמנה])</f>
        <v>0</v>
      </c>
      <c r="Y116" s="655">
        <f>SUMIF(טבלה24[מקט],טבלה38[[#This Row],[קוד מוצר]],טבלה24[כמות])</f>
        <v>0</v>
      </c>
      <c r="Z116" s="655">
        <f>SUMIF(טבלה628[קוד מוצר],טבלה38[[#This Row],[קוד מוצר]],טבלה628[תוספת])</f>
        <v>0</v>
      </c>
      <c r="AA116" s="610">
        <f>טבלה38[[#This Row],[פימת קפה]]*טבלה38[[#This Row],[מחיר ליח'' כולל ]]</f>
        <v>0</v>
      </c>
      <c r="AB116" s="610">
        <f>טבלה38[[#This Row],[פת שחרית]]*טבלה38[[#This Row],[מחיר ליח'' כולל ]]</f>
        <v>0</v>
      </c>
      <c r="AC116" s="610">
        <f>טבלה38[[#This Row],[א. בוקר פריסה]]*טבלה38[[#This Row],[מחיר ליח'' כולל ]]</f>
        <v>0</v>
      </c>
      <c r="AD116" s="666">
        <f>טבלה38[[#This Row],[א. צהררים פריסה ]]*טבלה38[[#This Row],[מחיר ליח'' כולל ]]</f>
        <v>0</v>
      </c>
      <c r="AE116" s="666">
        <f>טבלה38[[#This Row],[בוקר קיטים]]*טבלה38[[#This Row],[מחיר ליח'' כולל ]]</f>
        <v>0</v>
      </c>
      <c r="AF116" s="666">
        <f>טבלה38[[#This Row],[צהריים קיטים]]*טבלה38[[#This Row],[מחיר ליח'' כולל ]]</f>
        <v>0</v>
      </c>
      <c r="AG116" s="666">
        <f>טבלה38[[#This Row],[פריסת אמצע]]*טבלה38[[#This Row],[מחיר ליח'' כולל ]]</f>
        <v>0</v>
      </c>
      <c r="AH116" s="666">
        <f>טבלה38[[#This Row],[מרק]]*טבלה38[[#This Row],[מחיר ליח'' כולל ]]</f>
        <v>0</v>
      </c>
      <c r="AI116" s="666">
        <f>טבלה38[[#This Row],[ערב בישול 1]]*טבלה38[[#This Row],[מחיר ליח'' כולל ]]</f>
        <v>0</v>
      </c>
      <c r="AJ116" s="666">
        <f>טבלה38[[#This Row],[ערב בישול 2]]*טבלה38[[#This Row],[מחיר ליח'' כולל ]]</f>
        <v>0</v>
      </c>
      <c r="AK116" s="666">
        <f>טבלה38[[#This Row],[ערב בישול 3]]*טבלה38[[#This Row],[מחיר ליח'' כולל ]]</f>
        <v>0</v>
      </c>
      <c r="AL116" s="666">
        <f>טבלה38[[#This Row],[ערב קטן 1]]*טבלה38[[#This Row],[מחיר ליח'' כולל ]]</f>
        <v>0</v>
      </c>
      <c r="AM116" s="666">
        <f>טבלה38[[#This Row],[ערב קטן 2]]*טבלה38[[#This Row],[מחיר ליח'' כולל ]]</f>
        <v>0</v>
      </c>
      <c r="AN116" s="666">
        <f>טבלה38[[#This Row],[ערב קטן 3]]*טבלה38[[#This Row],[מחיר ליח'' כולל ]]</f>
        <v>0</v>
      </c>
      <c r="AO116" s="666">
        <f>טבלה38[[#This Row],[קיטים מיוחדים]]*טבלה38[[#This Row],[מחיר ליח'' כולל ]]</f>
        <v>0</v>
      </c>
      <c r="AP116" s="666">
        <f>טבלה38[[#This Row],[תוספות]]*טבלה38[[#This Row],[מחיר ליח'' כולל ]]</f>
        <v>0</v>
      </c>
    </row>
    <row r="117" spans="2:42" ht="14.4">
      <c r="B117" s="651">
        <v>5323</v>
      </c>
      <c r="C117" s="650" t="s">
        <v>1024</v>
      </c>
      <c r="E117" s="650"/>
      <c r="F117" s="649" t="str">
        <f>IF(טבלה38[[#This Row],[סה"כ]]&gt;0,טבלה38[[#This Row],[סה"כ]],"")</f>
        <v/>
      </c>
      <c r="G117" s="656">
        <v>0.17</v>
      </c>
      <c r="H117" s="655">
        <f>טבלה38[[#This Row],[מחיר]]+טבלה38[[#This Row],[% מע"מ]]*טבלה38[[#This Row],[מחיר]]</f>
        <v>0</v>
      </c>
      <c r="I117" s="630">
        <f>טבלה38[[#This Row],[סה"כ]]*טבלה38[[#This Row],[מחיר ליח'' כולל ]]</f>
        <v>0</v>
      </c>
      <c r="J117" s="655">
        <f>SUM(טבלה38[[#This Row],[פימת קפה]:[תוספות]])</f>
        <v>0</v>
      </c>
      <c r="K117" s="655">
        <f>SUMIF(טבלה11517[מקט],טבלה38[[#This Row],[קוד מוצר]],טבלה11517[כמות])</f>
        <v>0</v>
      </c>
      <c r="L117" s="655">
        <f>SUMIF(טבלה115179[מקט],טבלה38[[#This Row],[קוד מוצר]],טבלה115179[כמות])</f>
        <v>0</v>
      </c>
      <c r="M117" s="655">
        <f>SUMIF(טבלה115[מקט],טבלה38[[#This Row],[קוד מוצר]],טבלה115[כמות])</f>
        <v>0</v>
      </c>
      <c r="N117" s="655">
        <f>SUMIF(טבלה1[מק"ט],טבלה38[[#This Row],[קוד מוצר]],טבלה1[כמות])</f>
        <v>0</v>
      </c>
      <c r="O117" s="655">
        <f>SUMIF(טבלה8[מק"ט],טבלה38[[#This Row],[קוד מוצר]],טבלה8[הזמנה])</f>
        <v>0</v>
      </c>
      <c r="P117" s="655">
        <f>SUMIF(טבלה15[מק"ט],טבלה38[[#This Row],[קוד מוצר]],טבלה15[הזמנה])</f>
        <v>0</v>
      </c>
      <c r="Q117" s="655">
        <f>SUMIF(טבלה1151718[מקט],טבלה38[[#This Row],[קוד מוצר]],טבלה1151718[כמות])</f>
        <v>0</v>
      </c>
      <c r="R117" s="655">
        <f>SUMIF(טבלה125[מקט],טבלה38[[#This Row],[קוד מוצר]],טבלה125[כמות])</f>
        <v>0</v>
      </c>
      <c r="S117" s="655">
        <f>SUMIF(טבלה33[מק"ט],טבלה38[[#This Row],[קוד מוצר]],טבלה33[הזמנה])</f>
        <v>0</v>
      </c>
      <c r="T117" s="655">
        <f>SUMIF(טבלה34[עמודה1],טבלה38[[#This Row],[קוד מוצר]],טבלה34[הזמנה])</f>
        <v>0</v>
      </c>
      <c r="U117" s="655">
        <f>SUMIF(טבלה35[עמודה1],טבלה38[[#This Row],[קוד מוצר]],טבלה35[הזמנה])</f>
        <v>0</v>
      </c>
      <c r="V117" s="655">
        <f>SUMIF(טבלה3338[מק"ט],טבלה38[[#This Row],[קוד מוצר]],טבלה3338[הזמנה])</f>
        <v>0</v>
      </c>
      <c r="W117" s="655">
        <f>SUMIF(טבלה3540[עמודה1],טבלה38[[#This Row],[קוד מוצר]],טבלה3540[הזמנה])</f>
        <v>0</v>
      </c>
      <c r="X117" s="655">
        <f>SUMIF(טבלה3441[עמודה1],טבלה38[[#This Row],[קוד מוצר]],טבלה3441[הזמנה])</f>
        <v>0</v>
      </c>
      <c r="Y117" s="655">
        <f>SUMIF(טבלה24[מקט],טבלה38[[#This Row],[קוד מוצר]],טבלה24[כמות])</f>
        <v>0</v>
      </c>
      <c r="Z117" s="655">
        <f>SUMIF(טבלה628[קוד מוצר],טבלה38[[#This Row],[קוד מוצר]],טבלה628[תוספת])</f>
        <v>0</v>
      </c>
      <c r="AA117" s="610">
        <f>טבלה38[[#This Row],[פימת קפה]]*טבלה38[[#This Row],[מחיר ליח'' כולל ]]</f>
        <v>0</v>
      </c>
      <c r="AB117" s="610">
        <f>טבלה38[[#This Row],[פת שחרית]]*טבלה38[[#This Row],[מחיר ליח'' כולל ]]</f>
        <v>0</v>
      </c>
      <c r="AC117" s="610">
        <f>טבלה38[[#This Row],[א. בוקר פריסה]]*טבלה38[[#This Row],[מחיר ליח'' כולל ]]</f>
        <v>0</v>
      </c>
      <c r="AD117" s="666">
        <f>טבלה38[[#This Row],[א. צהררים פריסה ]]*טבלה38[[#This Row],[מחיר ליח'' כולל ]]</f>
        <v>0</v>
      </c>
      <c r="AE117" s="666">
        <f>טבלה38[[#This Row],[בוקר קיטים]]*טבלה38[[#This Row],[מחיר ליח'' כולל ]]</f>
        <v>0</v>
      </c>
      <c r="AF117" s="666">
        <f>טבלה38[[#This Row],[צהריים קיטים]]*טבלה38[[#This Row],[מחיר ליח'' כולל ]]</f>
        <v>0</v>
      </c>
      <c r="AG117" s="666">
        <f>טבלה38[[#This Row],[פריסת אמצע]]*טבלה38[[#This Row],[מחיר ליח'' כולל ]]</f>
        <v>0</v>
      </c>
      <c r="AH117" s="666">
        <f>טבלה38[[#This Row],[מרק]]*טבלה38[[#This Row],[מחיר ליח'' כולל ]]</f>
        <v>0</v>
      </c>
      <c r="AI117" s="666">
        <f>טבלה38[[#This Row],[ערב בישול 1]]*טבלה38[[#This Row],[מחיר ליח'' כולל ]]</f>
        <v>0</v>
      </c>
      <c r="AJ117" s="666">
        <f>טבלה38[[#This Row],[ערב בישול 2]]*טבלה38[[#This Row],[מחיר ליח'' כולל ]]</f>
        <v>0</v>
      </c>
      <c r="AK117" s="666">
        <f>טבלה38[[#This Row],[ערב בישול 3]]*טבלה38[[#This Row],[מחיר ליח'' כולל ]]</f>
        <v>0</v>
      </c>
      <c r="AL117" s="666">
        <f>טבלה38[[#This Row],[ערב קטן 1]]*טבלה38[[#This Row],[מחיר ליח'' כולל ]]</f>
        <v>0</v>
      </c>
      <c r="AM117" s="666">
        <f>טבלה38[[#This Row],[ערב קטן 2]]*טבלה38[[#This Row],[מחיר ליח'' כולל ]]</f>
        <v>0</v>
      </c>
      <c r="AN117" s="666">
        <f>טבלה38[[#This Row],[ערב קטן 3]]*טבלה38[[#This Row],[מחיר ליח'' כולל ]]</f>
        <v>0</v>
      </c>
      <c r="AO117" s="666">
        <f>טבלה38[[#This Row],[קיטים מיוחדים]]*טבלה38[[#This Row],[מחיר ליח'' כולל ]]</f>
        <v>0</v>
      </c>
      <c r="AP117" s="666">
        <f>טבלה38[[#This Row],[תוספות]]*טבלה38[[#This Row],[מחיר ליח'' כולל ]]</f>
        <v>0</v>
      </c>
    </row>
    <row r="118" spans="2:42" ht="14.4">
      <c r="B118" s="651">
        <v>5511</v>
      </c>
      <c r="C118" s="650" t="s">
        <v>992</v>
      </c>
      <c r="D118" s="650" t="s">
        <v>602</v>
      </c>
      <c r="E118" s="650"/>
      <c r="F118" s="649" t="str">
        <f>IF(טבלה38[[#This Row],[סה"כ]]&gt;0,טבלה38[[#This Row],[סה"כ]],"")</f>
        <v/>
      </c>
      <c r="G118" s="656">
        <v>0.17</v>
      </c>
      <c r="H118" s="655">
        <f>טבלה38[[#This Row],[מחיר]]+טבלה38[[#This Row],[% מע"מ]]*טבלה38[[#This Row],[מחיר]]</f>
        <v>0</v>
      </c>
      <c r="I118" s="630">
        <f>טבלה38[[#This Row],[סה"כ]]*טבלה38[[#This Row],[מחיר ליח'' כולל ]]</f>
        <v>0</v>
      </c>
      <c r="J118" s="655">
        <f>SUM(טבלה38[[#This Row],[פימת קפה]:[תוספות]])</f>
        <v>0</v>
      </c>
      <c r="K118" s="655">
        <f>SUMIF(טבלה11517[מקט],טבלה38[[#This Row],[קוד מוצר]],טבלה11517[כמות])</f>
        <v>0</v>
      </c>
      <c r="L118" s="655">
        <f>SUMIF(טבלה115179[מקט],טבלה38[[#This Row],[קוד מוצר]],טבלה115179[כמות])</f>
        <v>0</v>
      </c>
      <c r="M118" s="655">
        <f>SUMIF(טבלה115[מקט],טבלה38[[#This Row],[קוד מוצר]],טבלה115[כמות])</f>
        <v>0</v>
      </c>
      <c r="N118" s="655">
        <f>SUMIF(טבלה1[מק"ט],טבלה38[[#This Row],[קוד מוצר]],טבלה1[כמות])</f>
        <v>0</v>
      </c>
      <c r="O118" s="655">
        <f>SUMIF(טבלה8[מק"ט],טבלה38[[#This Row],[קוד מוצר]],טבלה8[הזמנה])</f>
        <v>0</v>
      </c>
      <c r="P118" s="655">
        <f>SUMIF(טבלה15[מק"ט],טבלה38[[#This Row],[קוד מוצר]],טבלה15[הזמנה])</f>
        <v>0</v>
      </c>
      <c r="Q118" s="655">
        <f>SUMIF(טבלה1151718[מקט],טבלה38[[#This Row],[קוד מוצר]],טבלה1151718[כמות])</f>
        <v>0</v>
      </c>
      <c r="R118" s="655">
        <f>SUMIF(טבלה125[מקט],טבלה38[[#This Row],[קוד מוצר]],טבלה125[כמות])</f>
        <v>0</v>
      </c>
      <c r="S118" s="655">
        <f>SUMIF(טבלה33[מק"ט],טבלה38[[#This Row],[קוד מוצר]],טבלה33[הזמנה])</f>
        <v>0</v>
      </c>
      <c r="T118" s="655">
        <f>SUMIF(טבלה34[עמודה1],טבלה38[[#This Row],[קוד מוצר]],טבלה34[הזמנה])</f>
        <v>0</v>
      </c>
      <c r="U118" s="655">
        <f>SUMIF(טבלה35[עמודה1],טבלה38[[#This Row],[קוד מוצר]],טבלה35[הזמנה])</f>
        <v>0</v>
      </c>
      <c r="V118" s="655">
        <f>SUMIF(טבלה3338[מק"ט],טבלה38[[#This Row],[קוד מוצר]],טבלה3338[הזמנה])</f>
        <v>0</v>
      </c>
      <c r="W118" s="655">
        <f>SUMIF(טבלה3540[עמודה1],טבלה38[[#This Row],[קוד מוצר]],טבלה3540[הזמנה])</f>
        <v>0</v>
      </c>
      <c r="X118" s="655">
        <f>SUMIF(טבלה3441[עמודה1],טבלה38[[#This Row],[קוד מוצר]],טבלה3441[הזמנה])</f>
        <v>0</v>
      </c>
      <c r="Y118" s="655">
        <f>SUMIF(טבלה24[מקט],טבלה38[[#This Row],[קוד מוצר]],טבלה24[כמות])</f>
        <v>0</v>
      </c>
      <c r="Z118" s="655">
        <f>SUMIF(טבלה628[קוד מוצר],טבלה38[[#This Row],[קוד מוצר]],טבלה628[תוספת])</f>
        <v>0</v>
      </c>
      <c r="AA118" s="610">
        <f>טבלה38[[#This Row],[פימת קפה]]*טבלה38[[#This Row],[מחיר ליח'' כולל ]]</f>
        <v>0</v>
      </c>
      <c r="AB118" s="610">
        <f>טבלה38[[#This Row],[פת שחרית]]*טבלה38[[#This Row],[מחיר ליח'' כולל ]]</f>
        <v>0</v>
      </c>
      <c r="AC118" s="610">
        <f>טבלה38[[#This Row],[א. בוקר פריסה]]*טבלה38[[#This Row],[מחיר ליח'' כולל ]]</f>
        <v>0</v>
      </c>
      <c r="AD118" s="666">
        <f>טבלה38[[#This Row],[א. צהררים פריסה ]]*טבלה38[[#This Row],[מחיר ליח'' כולל ]]</f>
        <v>0</v>
      </c>
      <c r="AE118" s="666">
        <f>טבלה38[[#This Row],[בוקר קיטים]]*טבלה38[[#This Row],[מחיר ליח'' כולל ]]</f>
        <v>0</v>
      </c>
      <c r="AF118" s="666">
        <f>טבלה38[[#This Row],[צהריים קיטים]]*טבלה38[[#This Row],[מחיר ליח'' כולל ]]</f>
        <v>0</v>
      </c>
      <c r="AG118" s="666">
        <f>טבלה38[[#This Row],[פריסת אמצע]]*טבלה38[[#This Row],[מחיר ליח'' כולל ]]</f>
        <v>0</v>
      </c>
      <c r="AH118" s="666">
        <f>טבלה38[[#This Row],[מרק]]*טבלה38[[#This Row],[מחיר ליח'' כולל ]]</f>
        <v>0</v>
      </c>
      <c r="AI118" s="666">
        <f>טבלה38[[#This Row],[ערב בישול 1]]*טבלה38[[#This Row],[מחיר ליח'' כולל ]]</f>
        <v>0</v>
      </c>
      <c r="AJ118" s="666">
        <f>טבלה38[[#This Row],[ערב בישול 2]]*טבלה38[[#This Row],[מחיר ליח'' כולל ]]</f>
        <v>0</v>
      </c>
      <c r="AK118" s="666">
        <f>טבלה38[[#This Row],[ערב בישול 3]]*טבלה38[[#This Row],[מחיר ליח'' כולל ]]</f>
        <v>0</v>
      </c>
      <c r="AL118" s="666">
        <f>טבלה38[[#This Row],[ערב קטן 1]]*טבלה38[[#This Row],[מחיר ליח'' כולל ]]</f>
        <v>0</v>
      </c>
      <c r="AM118" s="666">
        <f>טבלה38[[#This Row],[ערב קטן 2]]*טבלה38[[#This Row],[מחיר ליח'' כולל ]]</f>
        <v>0</v>
      </c>
      <c r="AN118" s="666">
        <f>טבלה38[[#This Row],[ערב קטן 3]]*טבלה38[[#This Row],[מחיר ליח'' כולל ]]</f>
        <v>0</v>
      </c>
      <c r="AO118" s="666">
        <f>טבלה38[[#This Row],[קיטים מיוחדים]]*טבלה38[[#This Row],[מחיר ליח'' כולל ]]</f>
        <v>0</v>
      </c>
      <c r="AP118" s="666">
        <f>טבלה38[[#This Row],[תוספות]]*טבלה38[[#This Row],[מחיר ליח'' כולל ]]</f>
        <v>0</v>
      </c>
    </row>
    <row r="119" spans="2:42" ht="14.4">
      <c r="B119" s="651">
        <v>5512</v>
      </c>
      <c r="C119" s="650" t="s">
        <v>991</v>
      </c>
      <c r="D119" s="650" t="s">
        <v>602</v>
      </c>
      <c r="E119" s="650"/>
      <c r="F119" s="649" t="str">
        <f>IF(טבלה38[[#This Row],[סה"כ]]&gt;0,טבלה38[[#This Row],[סה"כ]],"")</f>
        <v/>
      </c>
      <c r="G119" s="656">
        <v>0.17</v>
      </c>
      <c r="H119" s="655">
        <f>טבלה38[[#This Row],[מחיר]]+טבלה38[[#This Row],[% מע"מ]]*טבלה38[[#This Row],[מחיר]]</f>
        <v>0</v>
      </c>
      <c r="I119" s="630">
        <f>טבלה38[[#This Row],[סה"כ]]*טבלה38[[#This Row],[מחיר ליח'' כולל ]]</f>
        <v>0</v>
      </c>
      <c r="J119" s="655">
        <f>SUM(טבלה38[[#This Row],[פימת קפה]:[תוספות]])</f>
        <v>0</v>
      </c>
      <c r="K119" s="655">
        <f>SUMIF(טבלה11517[מקט],טבלה38[[#This Row],[קוד מוצר]],טבלה11517[כמות])</f>
        <v>0</v>
      </c>
      <c r="L119" s="655">
        <f>SUMIF(טבלה115179[מקט],טבלה38[[#This Row],[קוד מוצר]],טבלה115179[כמות])</f>
        <v>0</v>
      </c>
      <c r="M119" s="655">
        <f>SUMIF(טבלה115[מקט],טבלה38[[#This Row],[קוד מוצר]],טבלה115[כמות])</f>
        <v>0</v>
      </c>
      <c r="N119" s="655">
        <f>SUMIF(טבלה1[מק"ט],טבלה38[[#This Row],[קוד מוצר]],טבלה1[כמות])</f>
        <v>0</v>
      </c>
      <c r="O119" s="655">
        <f>SUMIF(טבלה8[מק"ט],טבלה38[[#This Row],[קוד מוצר]],טבלה8[הזמנה])</f>
        <v>0</v>
      </c>
      <c r="P119" s="655">
        <f>SUMIF(טבלה15[מק"ט],טבלה38[[#This Row],[קוד מוצר]],טבלה15[הזמנה])</f>
        <v>0</v>
      </c>
      <c r="Q119" s="655">
        <f>SUMIF(טבלה1151718[מקט],טבלה38[[#This Row],[קוד מוצר]],טבלה1151718[כמות])</f>
        <v>0</v>
      </c>
      <c r="R119" s="655">
        <f>SUMIF(טבלה125[מקט],טבלה38[[#This Row],[קוד מוצר]],טבלה125[כמות])</f>
        <v>0</v>
      </c>
      <c r="S119" s="655">
        <f>SUMIF(טבלה33[מק"ט],טבלה38[[#This Row],[קוד מוצר]],טבלה33[הזמנה])</f>
        <v>0</v>
      </c>
      <c r="T119" s="655">
        <f>SUMIF(טבלה34[עמודה1],טבלה38[[#This Row],[קוד מוצר]],טבלה34[הזמנה])</f>
        <v>0</v>
      </c>
      <c r="U119" s="655">
        <f>SUMIF(טבלה35[עמודה1],טבלה38[[#This Row],[קוד מוצר]],טבלה35[הזמנה])</f>
        <v>0</v>
      </c>
      <c r="V119" s="655">
        <f>SUMIF(טבלה3338[מק"ט],טבלה38[[#This Row],[קוד מוצר]],טבלה3338[הזמנה])</f>
        <v>0</v>
      </c>
      <c r="W119" s="655">
        <f>SUMIF(טבלה3540[עמודה1],טבלה38[[#This Row],[קוד מוצר]],טבלה3540[הזמנה])</f>
        <v>0</v>
      </c>
      <c r="X119" s="655">
        <f>SUMIF(טבלה3441[עמודה1],טבלה38[[#This Row],[קוד מוצר]],טבלה3441[הזמנה])</f>
        <v>0</v>
      </c>
      <c r="Y119" s="655">
        <f>SUMIF(טבלה24[מקט],טבלה38[[#This Row],[קוד מוצר]],טבלה24[כמות])</f>
        <v>0</v>
      </c>
      <c r="Z119" s="655">
        <f>SUMIF(טבלה628[קוד מוצר],טבלה38[[#This Row],[קוד מוצר]],טבלה628[תוספת])</f>
        <v>0</v>
      </c>
      <c r="AA119" s="610">
        <f>טבלה38[[#This Row],[פימת קפה]]*טבלה38[[#This Row],[מחיר ליח'' כולל ]]</f>
        <v>0</v>
      </c>
      <c r="AB119" s="610">
        <f>טבלה38[[#This Row],[פת שחרית]]*טבלה38[[#This Row],[מחיר ליח'' כולל ]]</f>
        <v>0</v>
      </c>
      <c r="AC119" s="610">
        <f>טבלה38[[#This Row],[א. בוקר פריסה]]*טבלה38[[#This Row],[מחיר ליח'' כולל ]]</f>
        <v>0</v>
      </c>
      <c r="AD119" s="666">
        <f>טבלה38[[#This Row],[א. צהררים פריסה ]]*טבלה38[[#This Row],[מחיר ליח'' כולל ]]</f>
        <v>0</v>
      </c>
      <c r="AE119" s="666">
        <f>טבלה38[[#This Row],[בוקר קיטים]]*טבלה38[[#This Row],[מחיר ליח'' כולל ]]</f>
        <v>0</v>
      </c>
      <c r="AF119" s="666">
        <f>טבלה38[[#This Row],[צהריים קיטים]]*טבלה38[[#This Row],[מחיר ליח'' כולל ]]</f>
        <v>0</v>
      </c>
      <c r="AG119" s="666">
        <f>טבלה38[[#This Row],[פריסת אמצע]]*טבלה38[[#This Row],[מחיר ליח'' כולל ]]</f>
        <v>0</v>
      </c>
      <c r="AH119" s="666">
        <f>טבלה38[[#This Row],[מרק]]*טבלה38[[#This Row],[מחיר ליח'' כולל ]]</f>
        <v>0</v>
      </c>
      <c r="AI119" s="666">
        <f>טבלה38[[#This Row],[ערב בישול 1]]*טבלה38[[#This Row],[מחיר ליח'' כולל ]]</f>
        <v>0</v>
      </c>
      <c r="AJ119" s="666">
        <f>טבלה38[[#This Row],[ערב בישול 2]]*טבלה38[[#This Row],[מחיר ליח'' כולל ]]</f>
        <v>0</v>
      </c>
      <c r="AK119" s="666">
        <f>טבלה38[[#This Row],[ערב בישול 3]]*טבלה38[[#This Row],[מחיר ליח'' כולל ]]</f>
        <v>0</v>
      </c>
      <c r="AL119" s="666">
        <f>טבלה38[[#This Row],[ערב קטן 1]]*טבלה38[[#This Row],[מחיר ליח'' כולל ]]</f>
        <v>0</v>
      </c>
      <c r="AM119" s="666">
        <f>טבלה38[[#This Row],[ערב קטן 2]]*טבלה38[[#This Row],[מחיר ליח'' כולל ]]</f>
        <v>0</v>
      </c>
      <c r="AN119" s="666">
        <f>טבלה38[[#This Row],[ערב קטן 3]]*טבלה38[[#This Row],[מחיר ליח'' כולל ]]</f>
        <v>0</v>
      </c>
      <c r="AO119" s="666">
        <f>טבלה38[[#This Row],[קיטים מיוחדים]]*טבלה38[[#This Row],[מחיר ליח'' כולל ]]</f>
        <v>0</v>
      </c>
      <c r="AP119" s="666">
        <f>טבלה38[[#This Row],[תוספות]]*טבלה38[[#This Row],[מחיר ליח'' כולל ]]</f>
        <v>0</v>
      </c>
    </row>
    <row r="120" spans="2:42" ht="14.4">
      <c r="B120" s="651">
        <v>5597</v>
      </c>
      <c r="C120" s="650" t="s">
        <v>1114</v>
      </c>
      <c r="D120" s="650" t="s">
        <v>602</v>
      </c>
      <c r="E120" s="650"/>
      <c r="F120" s="649" t="str">
        <f>IF(טבלה38[[#This Row],[סה"כ]]&gt;0,טבלה38[[#This Row],[סה"כ]],"")</f>
        <v/>
      </c>
      <c r="G120" s="656">
        <v>0.17</v>
      </c>
      <c r="H120" s="655">
        <f>טבלה38[[#This Row],[מחיר]]+טבלה38[[#This Row],[% מע"מ]]*טבלה38[[#This Row],[מחיר]]</f>
        <v>0</v>
      </c>
      <c r="I120" s="630">
        <f>טבלה38[[#This Row],[סה"כ]]*טבלה38[[#This Row],[מחיר ליח'' כולל ]]</f>
        <v>0</v>
      </c>
      <c r="J120" s="655">
        <f>SUM(טבלה38[[#This Row],[פימת קפה]:[תוספות]])</f>
        <v>0</v>
      </c>
      <c r="K120" s="655">
        <f>SUMIF(טבלה11517[מקט],טבלה38[[#This Row],[קוד מוצר]],טבלה11517[כמות])</f>
        <v>0</v>
      </c>
      <c r="L120" s="655">
        <f>SUMIF(טבלה115179[מקט],טבלה38[[#This Row],[קוד מוצר]],טבלה115179[כמות])</f>
        <v>0</v>
      </c>
      <c r="M120" s="655">
        <f>SUMIF(טבלה115[מקט],טבלה38[[#This Row],[קוד מוצר]],טבלה115[כמות])</f>
        <v>0</v>
      </c>
      <c r="N120" s="655">
        <f>SUMIF(טבלה1[מק"ט],טבלה38[[#This Row],[קוד מוצר]],טבלה1[כמות])</f>
        <v>0</v>
      </c>
      <c r="O120" s="655">
        <f>SUMIF(טבלה8[מק"ט],טבלה38[[#This Row],[קוד מוצר]],טבלה8[הזמנה])</f>
        <v>0</v>
      </c>
      <c r="P120" s="655">
        <f>SUMIF(טבלה15[מק"ט],טבלה38[[#This Row],[קוד מוצר]],טבלה15[הזמנה])</f>
        <v>0</v>
      </c>
      <c r="Q120" s="655">
        <f>SUMIF(טבלה1151718[מקט],טבלה38[[#This Row],[קוד מוצר]],טבלה1151718[כמות])</f>
        <v>0</v>
      </c>
      <c r="R120" s="655">
        <f>SUMIF(טבלה125[מקט],טבלה38[[#This Row],[קוד מוצר]],טבלה125[כמות])</f>
        <v>0</v>
      </c>
      <c r="S120" s="655">
        <f>SUMIF(טבלה33[מק"ט],טבלה38[[#This Row],[קוד מוצר]],טבלה33[הזמנה])</f>
        <v>0</v>
      </c>
      <c r="T120" s="655">
        <f>SUMIF(טבלה34[עמודה1],טבלה38[[#This Row],[קוד מוצר]],טבלה34[הזמנה])</f>
        <v>0</v>
      </c>
      <c r="U120" s="655">
        <f>SUMIF(טבלה35[עמודה1],טבלה38[[#This Row],[קוד מוצר]],טבלה35[הזמנה])</f>
        <v>0</v>
      </c>
      <c r="V120" s="655">
        <f>SUMIF(טבלה3338[מק"ט],טבלה38[[#This Row],[קוד מוצר]],טבלה3338[הזמנה])</f>
        <v>0</v>
      </c>
      <c r="W120" s="655">
        <f>SUMIF(טבלה3540[עמודה1],טבלה38[[#This Row],[קוד מוצר]],טבלה3540[הזמנה])</f>
        <v>0</v>
      </c>
      <c r="X120" s="655">
        <f>SUMIF(טבלה3441[עמודה1],טבלה38[[#This Row],[קוד מוצר]],טבלה3441[הזמנה])</f>
        <v>0</v>
      </c>
      <c r="Y120" s="655">
        <f>SUMIF(טבלה24[מקט],טבלה38[[#This Row],[קוד מוצר]],טבלה24[כמות])</f>
        <v>0</v>
      </c>
      <c r="Z120" s="655">
        <f>SUMIF(טבלה628[קוד מוצר],טבלה38[[#This Row],[קוד מוצר]],טבלה628[תוספת])</f>
        <v>0</v>
      </c>
      <c r="AA120" s="610">
        <f>טבלה38[[#This Row],[פימת קפה]]*טבלה38[[#This Row],[מחיר ליח'' כולל ]]</f>
        <v>0</v>
      </c>
      <c r="AB120" s="610">
        <f>טבלה38[[#This Row],[פת שחרית]]*טבלה38[[#This Row],[מחיר ליח'' כולל ]]</f>
        <v>0</v>
      </c>
      <c r="AC120" s="610">
        <f>טבלה38[[#This Row],[א. בוקר פריסה]]*טבלה38[[#This Row],[מחיר ליח'' כולל ]]</f>
        <v>0</v>
      </c>
      <c r="AD120" s="666">
        <f>טבלה38[[#This Row],[א. צהררים פריסה ]]*טבלה38[[#This Row],[מחיר ליח'' כולל ]]</f>
        <v>0</v>
      </c>
      <c r="AE120" s="666">
        <f>טבלה38[[#This Row],[בוקר קיטים]]*טבלה38[[#This Row],[מחיר ליח'' כולל ]]</f>
        <v>0</v>
      </c>
      <c r="AF120" s="666">
        <f>טבלה38[[#This Row],[צהריים קיטים]]*טבלה38[[#This Row],[מחיר ליח'' כולל ]]</f>
        <v>0</v>
      </c>
      <c r="AG120" s="666">
        <f>טבלה38[[#This Row],[פריסת אמצע]]*טבלה38[[#This Row],[מחיר ליח'' כולל ]]</f>
        <v>0</v>
      </c>
      <c r="AH120" s="666">
        <f>טבלה38[[#This Row],[מרק]]*טבלה38[[#This Row],[מחיר ליח'' כולל ]]</f>
        <v>0</v>
      </c>
      <c r="AI120" s="666">
        <f>טבלה38[[#This Row],[ערב בישול 1]]*טבלה38[[#This Row],[מחיר ליח'' כולל ]]</f>
        <v>0</v>
      </c>
      <c r="AJ120" s="666">
        <f>טבלה38[[#This Row],[ערב בישול 2]]*טבלה38[[#This Row],[מחיר ליח'' כולל ]]</f>
        <v>0</v>
      </c>
      <c r="AK120" s="666">
        <f>טבלה38[[#This Row],[ערב בישול 3]]*טבלה38[[#This Row],[מחיר ליח'' כולל ]]</f>
        <v>0</v>
      </c>
      <c r="AL120" s="666">
        <f>טבלה38[[#This Row],[ערב קטן 1]]*טבלה38[[#This Row],[מחיר ליח'' כולל ]]</f>
        <v>0</v>
      </c>
      <c r="AM120" s="666">
        <f>טבלה38[[#This Row],[ערב קטן 2]]*טבלה38[[#This Row],[מחיר ליח'' כולל ]]</f>
        <v>0</v>
      </c>
      <c r="AN120" s="666">
        <f>טבלה38[[#This Row],[ערב קטן 3]]*טבלה38[[#This Row],[מחיר ליח'' כולל ]]</f>
        <v>0</v>
      </c>
      <c r="AO120" s="666">
        <f>טבלה38[[#This Row],[קיטים מיוחדים]]*טבלה38[[#This Row],[מחיר ליח'' כולל ]]</f>
        <v>0</v>
      </c>
      <c r="AP120" s="666">
        <f>טבלה38[[#This Row],[תוספות]]*טבלה38[[#This Row],[מחיר ליח'' כולל ]]</f>
        <v>0</v>
      </c>
    </row>
    <row r="121" spans="2:42" ht="14.4">
      <c r="B121" s="651">
        <v>5664</v>
      </c>
      <c r="C121" s="650" t="s">
        <v>1148</v>
      </c>
      <c r="D121" s="650" t="s">
        <v>602</v>
      </c>
      <c r="E121" s="650"/>
      <c r="F121" s="649" t="str">
        <f>IF(טבלה38[[#This Row],[סה"כ]]&gt;0,טבלה38[[#This Row],[סה"כ]],"")</f>
        <v/>
      </c>
      <c r="G121" s="656">
        <v>0.17</v>
      </c>
      <c r="H121" s="655">
        <f>טבלה38[[#This Row],[מחיר]]+טבלה38[[#This Row],[% מע"מ]]*טבלה38[[#This Row],[מחיר]]</f>
        <v>0</v>
      </c>
      <c r="I121" s="630">
        <f>טבלה38[[#This Row],[סה"כ]]*טבלה38[[#This Row],[מחיר ליח'' כולל ]]</f>
        <v>0</v>
      </c>
      <c r="J121" s="655">
        <f>SUM(טבלה38[[#This Row],[פימת קפה]:[תוספות]])</f>
        <v>0</v>
      </c>
      <c r="K121" s="655">
        <f>SUMIF(טבלה11517[מקט],טבלה38[[#This Row],[קוד מוצר]],טבלה11517[כמות])</f>
        <v>0</v>
      </c>
      <c r="L121" s="655">
        <f>SUMIF(טבלה115179[מקט],טבלה38[[#This Row],[קוד מוצר]],טבלה115179[כמות])</f>
        <v>0</v>
      </c>
      <c r="M121" s="655">
        <f>SUMIF(טבלה115[מקט],טבלה38[[#This Row],[קוד מוצר]],טבלה115[כמות])</f>
        <v>0</v>
      </c>
      <c r="N121" s="655">
        <f>SUMIF(טבלה1[מק"ט],טבלה38[[#This Row],[קוד מוצר]],טבלה1[כמות])</f>
        <v>0</v>
      </c>
      <c r="O121" s="655">
        <f>SUMIF(טבלה8[מק"ט],טבלה38[[#This Row],[קוד מוצר]],טבלה8[הזמנה])</f>
        <v>0</v>
      </c>
      <c r="P121" s="655">
        <f>SUMIF(טבלה15[מק"ט],טבלה38[[#This Row],[קוד מוצר]],טבלה15[הזמנה])</f>
        <v>0</v>
      </c>
      <c r="Q121" s="655">
        <f>SUMIF(טבלה1151718[מקט],טבלה38[[#This Row],[קוד מוצר]],טבלה1151718[כמות])</f>
        <v>0</v>
      </c>
      <c r="R121" s="655">
        <f>SUMIF(טבלה125[מקט],טבלה38[[#This Row],[קוד מוצר]],טבלה125[כמות])</f>
        <v>0</v>
      </c>
      <c r="S121" s="655">
        <f>SUMIF(טבלה33[מק"ט],טבלה38[[#This Row],[קוד מוצר]],טבלה33[הזמנה])</f>
        <v>0</v>
      </c>
      <c r="T121" s="655">
        <f>SUMIF(טבלה34[עמודה1],טבלה38[[#This Row],[קוד מוצר]],טבלה34[הזמנה])</f>
        <v>0</v>
      </c>
      <c r="U121" s="655">
        <f>SUMIF(טבלה35[עמודה1],טבלה38[[#This Row],[קוד מוצר]],טבלה35[הזמנה])</f>
        <v>0</v>
      </c>
      <c r="V121" s="655">
        <f>SUMIF(טבלה3338[מק"ט],טבלה38[[#This Row],[קוד מוצר]],טבלה3338[הזמנה])</f>
        <v>0</v>
      </c>
      <c r="W121" s="655">
        <f>SUMIF(טבלה3540[עמודה1],טבלה38[[#This Row],[קוד מוצר]],טבלה3540[הזמנה])</f>
        <v>0</v>
      </c>
      <c r="X121" s="655">
        <f>SUMIF(טבלה3441[עמודה1],טבלה38[[#This Row],[קוד מוצר]],טבלה3441[הזמנה])</f>
        <v>0</v>
      </c>
      <c r="Y121" s="655">
        <f>SUMIF(טבלה24[מקט],טבלה38[[#This Row],[קוד מוצר]],טבלה24[כמות])</f>
        <v>0</v>
      </c>
      <c r="Z121" s="655">
        <f>SUMIF(טבלה628[קוד מוצר],טבלה38[[#This Row],[קוד מוצר]],טבלה628[תוספת])</f>
        <v>0</v>
      </c>
      <c r="AA121" s="610">
        <f>טבלה38[[#This Row],[פימת קפה]]*טבלה38[[#This Row],[מחיר ליח'' כולל ]]</f>
        <v>0</v>
      </c>
      <c r="AB121" s="610">
        <f>טבלה38[[#This Row],[פת שחרית]]*טבלה38[[#This Row],[מחיר ליח'' כולל ]]</f>
        <v>0</v>
      </c>
      <c r="AC121" s="610">
        <f>טבלה38[[#This Row],[א. בוקר פריסה]]*טבלה38[[#This Row],[מחיר ליח'' כולל ]]</f>
        <v>0</v>
      </c>
      <c r="AD121" s="666">
        <f>טבלה38[[#This Row],[א. צהררים פריסה ]]*טבלה38[[#This Row],[מחיר ליח'' כולל ]]</f>
        <v>0</v>
      </c>
      <c r="AE121" s="666">
        <f>טבלה38[[#This Row],[בוקר קיטים]]*טבלה38[[#This Row],[מחיר ליח'' כולל ]]</f>
        <v>0</v>
      </c>
      <c r="AF121" s="666">
        <f>טבלה38[[#This Row],[צהריים קיטים]]*טבלה38[[#This Row],[מחיר ליח'' כולל ]]</f>
        <v>0</v>
      </c>
      <c r="AG121" s="666">
        <f>טבלה38[[#This Row],[פריסת אמצע]]*טבלה38[[#This Row],[מחיר ליח'' כולל ]]</f>
        <v>0</v>
      </c>
      <c r="AH121" s="666">
        <f>טבלה38[[#This Row],[מרק]]*טבלה38[[#This Row],[מחיר ליח'' כולל ]]</f>
        <v>0</v>
      </c>
      <c r="AI121" s="666">
        <f>טבלה38[[#This Row],[ערב בישול 1]]*טבלה38[[#This Row],[מחיר ליח'' כולל ]]</f>
        <v>0</v>
      </c>
      <c r="AJ121" s="666">
        <f>טבלה38[[#This Row],[ערב בישול 2]]*טבלה38[[#This Row],[מחיר ליח'' כולל ]]</f>
        <v>0</v>
      </c>
      <c r="AK121" s="666">
        <f>טבלה38[[#This Row],[ערב בישול 3]]*טבלה38[[#This Row],[מחיר ליח'' כולל ]]</f>
        <v>0</v>
      </c>
      <c r="AL121" s="666">
        <f>טבלה38[[#This Row],[ערב קטן 1]]*טבלה38[[#This Row],[מחיר ליח'' כולל ]]</f>
        <v>0</v>
      </c>
      <c r="AM121" s="666">
        <f>טבלה38[[#This Row],[ערב קטן 2]]*טבלה38[[#This Row],[מחיר ליח'' כולל ]]</f>
        <v>0</v>
      </c>
      <c r="AN121" s="666">
        <f>טבלה38[[#This Row],[ערב קטן 3]]*טבלה38[[#This Row],[מחיר ליח'' כולל ]]</f>
        <v>0</v>
      </c>
      <c r="AO121" s="666">
        <f>טבלה38[[#This Row],[קיטים מיוחדים]]*טבלה38[[#This Row],[מחיר ליח'' כולל ]]</f>
        <v>0</v>
      </c>
      <c r="AP121" s="666">
        <f>טבלה38[[#This Row],[תוספות]]*טבלה38[[#This Row],[מחיר ליח'' כולל ]]</f>
        <v>0</v>
      </c>
    </row>
    <row r="122" spans="2:42" ht="21">
      <c r="B122" s="651">
        <v>5726</v>
      </c>
      <c r="C122" s="650" t="s">
        <v>1040</v>
      </c>
      <c r="D122" s="650" t="s">
        <v>602</v>
      </c>
      <c r="E122" s="650"/>
      <c r="F122" s="653" t="str">
        <f>IF(טבלה38[[#This Row],[סה"כ]]&gt;0,טבלה38[[#This Row],[סה"כ]],"")</f>
        <v/>
      </c>
      <c r="G122" s="656">
        <v>0.17</v>
      </c>
      <c r="H122" s="655">
        <f>טבלה38[[#This Row],[מחיר]]+טבלה38[[#This Row],[% מע"מ]]*טבלה38[[#This Row],[מחיר]]</f>
        <v>0</v>
      </c>
      <c r="I122" s="630">
        <f>טבלה38[[#This Row],[סה"כ]]*טבלה38[[#This Row],[מחיר ליח'' כולל ]]</f>
        <v>0</v>
      </c>
      <c r="J122" s="655">
        <f>SUM(טבלה38[[#This Row],[פימת קפה]:[תוספות]])</f>
        <v>0</v>
      </c>
      <c r="K122" s="655">
        <f>SUMIF(טבלה11517[מקט],טבלה38[[#This Row],[קוד מוצר]],טבלה11517[כמות])</f>
        <v>0</v>
      </c>
      <c r="L122" s="655">
        <f>SUMIF(טבלה115179[מקט],טבלה38[[#This Row],[קוד מוצר]],טבלה115179[כמות])</f>
        <v>0</v>
      </c>
      <c r="M122" s="655">
        <f>SUMIF(טבלה115[מקט],טבלה38[[#This Row],[קוד מוצר]],טבלה115[כמות])</f>
        <v>0</v>
      </c>
      <c r="N122" s="655">
        <f>SUMIF(טבלה1[מק"ט],טבלה38[[#This Row],[קוד מוצר]],טבלה1[כמות])</f>
        <v>0</v>
      </c>
      <c r="O122" s="655">
        <f>SUMIF(טבלה8[מק"ט],טבלה38[[#This Row],[קוד מוצר]],טבלה8[הזמנה])</f>
        <v>0</v>
      </c>
      <c r="P122" s="655">
        <f>SUMIF(טבלה15[מק"ט],טבלה38[[#This Row],[קוד מוצר]],טבלה15[הזמנה])</f>
        <v>0</v>
      </c>
      <c r="Q122" s="655">
        <f>SUMIF(טבלה1151718[מקט],טבלה38[[#This Row],[קוד מוצר]],טבלה1151718[כמות])</f>
        <v>0</v>
      </c>
      <c r="R122" s="655">
        <f>SUMIF(טבלה125[מקט],טבלה38[[#This Row],[קוד מוצר]],טבלה125[כמות])</f>
        <v>0</v>
      </c>
      <c r="S122" s="655">
        <f>SUMIF(טבלה33[מק"ט],טבלה38[[#This Row],[קוד מוצר]],טבלה33[הזמנה])</f>
        <v>0</v>
      </c>
      <c r="T122" s="655">
        <f>SUMIF(טבלה34[עמודה1],טבלה38[[#This Row],[קוד מוצר]],טבלה34[הזמנה])</f>
        <v>0</v>
      </c>
      <c r="U122" s="655">
        <f>SUMIF(טבלה35[עמודה1],טבלה38[[#This Row],[קוד מוצר]],טבלה35[הזמנה])</f>
        <v>0</v>
      </c>
      <c r="V122" s="655">
        <f>SUMIF(טבלה3338[מק"ט],טבלה38[[#This Row],[קוד מוצר]],טבלה3338[הזמנה])</f>
        <v>0</v>
      </c>
      <c r="W122" s="655">
        <f>SUMIF(טבלה3540[עמודה1],טבלה38[[#This Row],[קוד מוצר]],טבלה3540[הזמנה])</f>
        <v>0</v>
      </c>
      <c r="X122" s="655">
        <f>SUMIF(טבלה3441[עמודה1],טבלה38[[#This Row],[קוד מוצר]],טבלה3441[הזמנה])</f>
        <v>0</v>
      </c>
      <c r="Y122" s="655">
        <f>SUMIF(טבלה24[מקט],טבלה38[[#This Row],[קוד מוצר]],טבלה24[כמות])</f>
        <v>0</v>
      </c>
      <c r="Z122" s="655">
        <f>SUMIF(טבלה628[קוד מוצר],טבלה38[[#This Row],[קוד מוצר]],טבלה628[תוספת])</f>
        <v>0</v>
      </c>
      <c r="AA122" s="610">
        <f>טבלה38[[#This Row],[פימת קפה]]*טבלה38[[#This Row],[מחיר ליח'' כולל ]]</f>
        <v>0</v>
      </c>
      <c r="AB122" s="610">
        <f>טבלה38[[#This Row],[פת שחרית]]*טבלה38[[#This Row],[מחיר ליח'' כולל ]]</f>
        <v>0</v>
      </c>
      <c r="AC122" s="610">
        <f>טבלה38[[#This Row],[א. בוקר פריסה]]*טבלה38[[#This Row],[מחיר ליח'' כולל ]]</f>
        <v>0</v>
      </c>
      <c r="AD122" s="666">
        <f>טבלה38[[#This Row],[א. צהררים פריסה ]]*טבלה38[[#This Row],[מחיר ליח'' כולל ]]</f>
        <v>0</v>
      </c>
      <c r="AE122" s="666">
        <f>טבלה38[[#This Row],[בוקר קיטים]]*טבלה38[[#This Row],[מחיר ליח'' כולל ]]</f>
        <v>0</v>
      </c>
      <c r="AF122" s="666">
        <f>טבלה38[[#This Row],[צהריים קיטים]]*טבלה38[[#This Row],[מחיר ליח'' כולל ]]</f>
        <v>0</v>
      </c>
      <c r="AG122" s="666">
        <f>טבלה38[[#This Row],[פריסת אמצע]]*טבלה38[[#This Row],[מחיר ליח'' כולל ]]</f>
        <v>0</v>
      </c>
      <c r="AH122" s="666">
        <f>טבלה38[[#This Row],[מרק]]*טבלה38[[#This Row],[מחיר ליח'' כולל ]]</f>
        <v>0</v>
      </c>
      <c r="AI122" s="666">
        <f>טבלה38[[#This Row],[ערב בישול 1]]*טבלה38[[#This Row],[מחיר ליח'' כולל ]]</f>
        <v>0</v>
      </c>
      <c r="AJ122" s="666">
        <f>טבלה38[[#This Row],[ערב בישול 2]]*טבלה38[[#This Row],[מחיר ליח'' כולל ]]</f>
        <v>0</v>
      </c>
      <c r="AK122" s="666">
        <f>טבלה38[[#This Row],[ערב בישול 3]]*טבלה38[[#This Row],[מחיר ליח'' כולל ]]</f>
        <v>0</v>
      </c>
      <c r="AL122" s="666">
        <f>טבלה38[[#This Row],[ערב קטן 1]]*טבלה38[[#This Row],[מחיר ליח'' כולל ]]</f>
        <v>0</v>
      </c>
      <c r="AM122" s="666">
        <f>טבלה38[[#This Row],[ערב קטן 2]]*טבלה38[[#This Row],[מחיר ליח'' כולל ]]</f>
        <v>0</v>
      </c>
      <c r="AN122" s="666">
        <f>טבלה38[[#This Row],[ערב קטן 3]]*טבלה38[[#This Row],[מחיר ליח'' כולל ]]</f>
        <v>0</v>
      </c>
      <c r="AO122" s="666">
        <f>טבלה38[[#This Row],[קיטים מיוחדים]]*טבלה38[[#This Row],[מחיר ליח'' כולל ]]</f>
        <v>0</v>
      </c>
      <c r="AP122" s="666">
        <f>טבלה38[[#This Row],[תוספות]]*טבלה38[[#This Row],[מחיר ליח'' כולל ]]</f>
        <v>0</v>
      </c>
    </row>
    <row r="123" spans="2:42" ht="14.4">
      <c r="B123" s="651">
        <v>5733</v>
      </c>
      <c r="C123" s="650" t="s">
        <v>1027</v>
      </c>
      <c r="D123" s="650" t="s">
        <v>8</v>
      </c>
      <c r="E123" s="650"/>
      <c r="F123" s="649" t="str">
        <f>IF(טבלה38[[#This Row],[סה"כ]]&gt;0,טבלה38[[#This Row],[סה"כ]],"")</f>
        <v/>
      </c>
      <c r="G123" s="656">
        <v>0.17</v>
      </c>
      <c r="H123" s="655">
        <f>טבלה38[[#This Row],[מחיר]]+טבלה38[[#This Row],[% מע"מ]]*טבלה38[[#This Row],[מחיר]]</f>
        <v>0</v>
      </c>
      <c r="I123" s="630">
        <f>טבלה38[[#This Row],[סה"כ]]*טבלה38[[#This Row],[מחיר ליח'' כולל ]]</f>
        <v>0</v>
      </c>
      <c r="J123" s="655">
        <f>SUM(טבלה38[[#This Row],[פימת קפה]:[תוספות]])</f>
        <v>0</v>
      </c>
      <c r="K123" s="655">
        <f>SUMIF(טבלה11517[מקט],טבלה38[[#This Row],[קוד מוצר]],טבלה11517[כמות])</f>
        <v>0</v>
      </c>
      <c r="L123" s="655">
        <f>SUMIF(טבלה115179[מקט],טבלה38[[#This Row],[קוד מוצר]],טבלה115179[כמות])</f>
        <v>0</v>
      </c>
      <c r="M123" s="655">
        <f>SUMIF(טבלה115[מקט],טבלה38[[#This Row],[קוד מוצר]],טבלה115[כמות])</f>
        <v>0</v>
      </c>
      <c r="N123" s="655">
        <f>SUMIF(טבלה1[מק"ט],טבלה38[[#This Row],[קוד מוצר]],טבלה1[כמות])</f>
        <v>0</v>
      </c>
      <c r="O123" s="655">
        <f>SUMIF(טבלה8[מק"ט],טבלה38[[#This Row],[קוד מוצר]],טבלה8[הזמנה])</f>
        <v>0</v>
      </c>
      <c r="P123" s="655">
        <f>SUMIF(טבלה15[מק"ט],טבלה38[[#This Row],[קוד מוצר]],טבלה15[הזמנה])</f>
        <v>0</v>
      </c>
      <c r="Q123" s="655">
        <f>SUMIF(טבלה1151718[מקט],טבלה38[[#This Row],[קוד מוצר]],טבלה1151718[כמות])</f>
        <v>0</v>
      </c>
      <c r="R123" s="655">
        <f>SUMIF(טבלה125[מקט],טבלה38[[#This Row],[קוד מוצר]],טבלה125[כמות])</f>
        <v>0</v>
      </c>
      <c r="S123" s="655">
        <f>SUMIF(טבלה33[מק"ט],טבלה38[[#This Row],[קוד מוצר]],טבלה33[הזמנה])</f>
        <v>0</v>
      </c>
      <c r="T123" s="655">
        <f>SUMIF(טבלה34[עמודה1],טבלה38[[#This Row],[קוד מוצר]],טבלה34[הזמנה])</f>
        <v>0</v>
      </c>
      <c r="U123" s="655">
        <f>SUMIF(טבלה35[עמודה1],טבלה38[[#This Row],[קוד מוצר]],טבלה35[הזמנה])</f>
        <v>0</v>
      </c>
      <c r="V123" s="655">
        <f>SUMIF(טבלה3338[מק"ט],טבלה38[[#This Row],[קוד מוצר]],טבלה3338[הזמנה])</f>
        <v>0</v>
      </c>
      <c r="W123" s="655">
        <f>SUMIF(טבלה3540[עמודה1],טבלה38[[#This Row],[קוד מוצר]],טבלה3540[הזמנה])</f>
        <v>0</v>
      </c>
      <c r="X123" s="655">
        <f>SUMIF(טבלה3441[עמודה1],טבלה38[[#This Row],[קוד מוצר]],טבלה3441[הזמנה])</f>
        <v>0</v>
      </c>
      <c r="Y123" s="655">
        <f>SUMIF(טבלה24[מקט],טבלה38[[#This Row],[קוד מוצר]],טבלה24[כמות])</f>
        <v>0</v>
      </c>
      <c r="Z123" s="655">
        <f>SUMIF(טבלה628[קוד מוצר],טבלה38[[#This Row],[קוד מוצר]],טבלה628[תוספת])</f>
        <v>0</v>
      </c>
      <c r="AA123" s="610">
        <f>טבלה38[[#This Row],[פימת קפה]]*טבלה38[[#This Row],[מחיר ליח'' כולל ]]</f>
        <v>0</v>
      </c>
      <c r="AB123" s="610">
        <f>טבלה38[[#This Row],[פת שחרית]]*טבלה38[[#This Row],[מחיר ליח'' כולל ]]</f>
        <v>0</v>
      </c>
      <c r="AC123" s="610">
        <f>טבלה38[[#This Row],[א. בוקר פריסה]]*טבלה38[[#This Row],[מחיר ליח'' כולל ]]</f>
        <v>0</v>
      </c>
      <c r="AD123" s="666">
        <f>טבלה38[[#This Row],[א. צהררים פריסה ]]*טבלה38[[#This Row],[מחיר ליח'' כולל ]]</f>
        <v>0</v>
      </c>
      <c r="AE123" s="666">
        <f>טבלה38[[#This Row],[בוקר קיטים]]*טבלה38[[#This Row],[מחיר ליח'' כולל ]]</f>
        <v>0</v>
      </c>
      <c r="AF123" s="666">
        <f>טבלה38[[#This Row],[צהריים קיטים]]*טבלה38[[#This Row],[מחיר ליח'' כולל ]]</f>
        <v>0</v>
      </c>
      <c r="AG123" s="666">
        <f>טבלה38[[#This Row],[פריסת אמצע]]*טבלה38[[#This Row],[מחיר ליח'' כולל ]]</f>
        <v>0</v>
      </c>
      <c r="AH123" s="666">
        <f>טבלה38[[#This Row],[מרק]]*טבלה38[[#This Row],[מחיר ליח'' כולל ]]</f>
        <v>0</v>
      </c>
      <c r="AI123" s="666">
        <f>טבלה38[[#This Row],[ערב בישול 1]]*טבלה38[[#This Row],[מחיר ליח'' כולל ]]</f>
        <v>0</v>
      </c>
      <c r="AJ123" s="666">
        <f>טבלה38[[#This Row],[ערב בישול 2]]*טבלה38[[#This Row],[מחיר ליח'' כולל ]]</f>
        <v>0</v>
      </c>
      <c r="AK123" s="666">
        <f>טבלה38[[#This Row],[ערב בישול 3]]*טבלה38[[#This Row],[מחיר ליח'' כולל ]]</f>
        <v>0</v>
      </c>
      <c r="AL123" s="666">
        <f>טבלה38[[#This Row],[ערב קטן 1]]*טבלה38[[#This Row],[מחיר ליח'' כולל ]]</f>
        <v>0</v>
      </c>
      <c r="AM123" s="666">
        <f>טבלה38[[#This Row],[ערב קטן 2]]*טבלה38[[#This Row],[מחיר ליח'' כולל ]]</f>
        <v>0</v>
      </c>
      <c r="AN123" s="666">
        <f>טבלה38[[#This Row],[ערב קטן 3]]*טבלה38[[#This Row],[מחיר ליח'' כולל ]]</f>
        <v>0</v>
      </c>
      <c r="AO123" s="666">
        <f>טבלה38[[#This Row],[קיטים מיוחדים]]*טבלה38[[#This Row],[מחיר ליח'' כולל ]]</f>
        <v>0</v>
      </c>
      <c r="AP123" s="666">
        <f>טבלה38[[#This Row],[תוספות]]*טבלה38[[#This Row],[מחיר ליח'' כולל ]]</f>
        <v>0</v>
      </c>
    </row>
    <row r="124" spans="2:42" ht="14.4">
      <c r="B124" s="651">
        <v>5821</v>
      </c>
      <c r="C124" s="650" t="s">
        <v>1020</v>
      </c>
      <c r="D124" s="650" t="s">
        <v>231</v>
      </c>
      <c r="E124" s="650"/>
      <c r="F124" s="650" t="str">
        <f>IF(טבלה38[[#This Row],[סה"כ]]&gt;0,טבלה38[[#This Row],[סה"כ]],"")</f>
        <v/>
      </c>
      <c r="G124" s="656">
        <v>0.17</v>
      </c>
      <c r="H124" s="655">
        <f>טבלה38[[#This Row],[מחיר]]+טבלה38[[#This Row],[% מע"מ]]*טבלה38[[#This Row],[מחיר]]</f>
        <v>0</v>
      </c>
      <c r="I124" s="630">
        <f>טבלה38[[#This Row],[סה"כ]]*טבלה38[[#This Row],[מחיר ליח'' כולל ]]</f>
        <v>0</v>
      </c>
      <c r="J124" s="655">
        <f>SUM(טבלה38[[#This Row],[פימת קפה]:[תוספות]])</f>
        <v>0</v>
      </c>
      <c r="K124" s="655">
        <f>SUMIF(טבלה11517[מקט],טבלה38[[#This Row],[קוד מוצר]],טבלה11517[כמות])</f>
        <v>0</v>
      </c>
      <c r="L124" s="655">
        <f>SUMIF(טבלה115179[מקט],טבלה38[[#This Row],[קוד מוצר]],טבלה115179[כמות])</f>
        <v>0</v>
      </c>
      <c r="M124" s="655">
        <f>SUMIF(טבלה115[מקט],טבלה38[[#This Row],[קוד מוצר]],טבלה115[כמות])</f>
        <v>0</v>
      </c>
      <c r="N124" s="655">
        <f>SUMIF(טבלה1[מק"ט],טבלה38[[#This Row],[קוד מוצר]],טבלה1[כמות])</f>
        <v>0</v>
      </c>
      <c r="O124" s="655">
        <f>SUMIF(טבלה8[מק"ט],טבלה38[[#This Row],[קוד מוצר]],טבלה8[הזמנה])</f>
        <v>0</v>
      </c>
      <c r="P124" s="655">
        <f>SUMIF(טבלה15[מק"ט],טבלה38[[#This Row],[קוד מוצר]],טבלה15[הזמנה])</f>
        <v>0</v>
      </c>
      <c r="Q124" s="655">
        <f>SUMIF(טבלה1151718[מקט],טבלה38[[#This Row],[קוד מוצר]],טבלה1151718[כמות])</f>
        <v>0</v>
      </c>
      <c r="R124" s="655">
        <f>SUMIF(טבלה125[מקט],טבלה38[[#This Row],[קוד מוצר]],טבלה125[כמות])</f>
        <v>0</v>
      </c>
      <c r="S124" s="655">
        <f>SUMIF(טבלה33[מק"ט],טבלה38[[#This Row],[קוד מוצר]],טבלה33[הזמנה])</f>
        <v>0</v>
      </c>
      <c r="T124" s="655">
        <f>SUMIF(טבלה34[עמודה1],טבלה38[[#This Row],[קוד מוצר]],טבלה34[הזמנה])</f>
        <v>0</v>
      </c>
      <c r="U124" s="655">
        <f>SUMIF(טבלה35[עמודה1],טבלה38[[#This Row],[קוד מוצר]],טבלה35[הזמנה])</f>
        <v>0</v>
      </c>
      <c r="V124" s="655">
        <f>SUMIF(טבלה3338[מק"ט],טבלה38[[#This Row],[קוד מוצר]],טבלה3338[הזמנה])</f>
        <v>0</v>
      </c>
      <c r="W124" s="655">
        <f>SUMIF(טבלה3540[עמודה1],טבלה38[[#This Row],[קוד מוצר]],טבלה3540[הזמנה])</f>
        <v>0</v>
      </c>
      <c r="X124" s="655">
        <f>SUMIF(טבלה3441[עמודה1],טבלה38[[#This Row],[קוד מוצר]],טבלה3441[הזמנה])</f>
        <v>0</v>
      </c>
      <c r="Y124" s="655">
        <f>SUMIF(טבלה24[מקט],טבלה38[[#This Row],[קוד מוצר]],טבלה24[כמות])</f>
        <v>0</v>
      </c>
      <c r="Z124" s="655">
        <f>SUMIF(טבלה628[קוד מוצר],טבלה38[[#This Row],[קוד מוצר]],טבלה628[תוספת])</f>
        <v>0</v>
      </c>
      <c r="AA124" s="610">
        <f>טבלה38[[#This Row],[פימת קפה]]*טבלה38[[#This Row],[מחיר ליח'' כולל ]]</f>
        <v>0</v>
      </c>
      <c r="AB124" s="610">
        <f>טבלה38[[#This Row],[פת שחרית]]*טבלה38[[#This Row],[מחיר ליח'' כולל ]]</f>
        <v>0</v>
      </c>
      <c r="AC124" s="610">
        <f>טבלה38[[#This Row],[א. בוקר פריסה]]*טבלה38[[#This Row],[מחיר ליח'' כולל ]]</f>
        <v>0</v>
      </c>
      <c r="AD124" s="666">
        <f>טבלה38[[#This Row],[א. צהררים פריסה ]]*טבלה38[[#This Row],[מחיר ליח'' כולל ]]</f>
        <v>0</v>
      </c>
      <c r="AE124" s="666">
        <f>טבלה38[[#This Row],[בוקר קיטים]]*טבלה38[[#This Row],[מחיר ליח'' כולל ]]</f>
        <v>0</v>
      </c>
      <c r="AF124" s="666">
        <f>טבלה38[[#This Row],[צהריים קיטים]]*טבלה38[[#This Row],[מחיר ליח'' כולל ]]</f>
        <v>0</v>
      </c>
      <c r="AG124" s="666">
        <f>טבלה38[[#This Row],[פריסת אמצע]]*טבלה38[[#This Row],[מחיר ליח'' כולל ]]</f>
        <v>0</v>
      </c>
      <c r="AH124" s="666">
        <f>טבלה38[[#This Row],[מרק]]*טבלה38[[#This Row],[מחיר ליח'' כולל ]]</f>
        <v>0</v>
      </c>
      <c r="AI124" s="666">
        <f>טבלה38[[#This Row],[ערב בישול 1]]*טבלה38[[#This Row],[מחיר ליח'' כולל ]]</f>
        <v>0</v>
      </c>
      <c r="AJ124" s="666">
        <f>טבלה38[[#This Row],[ערב בישול 2]]*טבלה38[[#This Row],[מחיר ליח'' כולל ]]</f>
        <v>0</v>
      </c>
      <c r="AK124" s="666">
        <f>טבלה38[[#This Row],[ערב בישול 3]]*טבלה38[[#This Row],[מחיר ליח'' כולל ]]</f>
        <v>0</v>
      </c>
      <c r="AL124" s="666">
        <f>טבלה38[[#This Row],[ערב קטן 1]]*טבלה38[[#This Row],[מחיר ליח'' כולל ]]</f>
        <v>0</v>
      </c>
      <c r="AM124" s="666">
        <f>טבלה38[[#This Row],[ערב קטן 2]]*טבלה38[[#This Row],[מחיר ליח'' כולל ]]</f>
        <v>0</v>
      </c>
      <c r="AN124" s="666">
        <f>טבלה38[[#This Row],[ערב קטן 3]]*טבלה38[[#This Row],[מחיר ליח'' כולל ]]</f>
        <v>0</v>
      </c>
      <c r="AO124" s="666">
        <f>טבלה38[[#This Row],[קיטים מיוחדים]]*טבלה38[[#This Row],[מחיר ליח'' כולל ]]</f>
        <v>0</v>
      </c>
      <c r="AP124" s="666">
        <f>טבלה38[[#This Row],[תוספות]]*טבלה38[[#This Row],[מחיר ליח'' כולל ]]</f>
        <v>0</v>
      </c>
    </row>
    <row r="125" spans="2:42" ht="14.4">
      <c r="B125" s="651">
        <v>5835</v>
      </c>
      <c r="C125" s="650" t="s">
        <v>1133</v>
      </c>
      <c r="D125" s="650" t="s">
        <v>602</v>
      </c>
      <c r="E125" s="650"/>
      <c r="F125" s="649" t="str">
        <f>IF(טבלה38[[#This Row],[סה"כ]]&gt;0,טבלה38[[#This Row],[סה"כ]],"")</f>
        <v/>
      </c>
      <c r="G125" s="656">
        <v>0.17</v>
      </c>
      <c r="H125" s="655">
        <f>טבלה38[[#This Row],[מחיר]]+טבלה38[[#This Row],[% מע"מ]]*טבלה38[[#This Row],[מחיר]]</f>
        <v>0</v>
      </c>
      <c r="I125" s="630">
        <f>טבלה38[[#This Row],[סה"כ]]*טבלה38[[#This Row],[מחיר ליח'' כולל ]]</f>
        <v>0</v>
      </c>
      <c r="J125" s="655">
        <f>SUM(טבלה38[[#This Row],[פימת קפה]:[תוספות]])</f>
        <v>0</v>
      </c>
      <c r="K125" s="655">
        <f>SUMIF(טבלה11517[מקט],טבלה38[[#This Row],[קוד מוצר]],טבלה11517[כמות])</f>
        <v>0</v>
      </c>
      <c r="L125" s="655">
        <f>SUMIF(טבלה115179[מקט],טבלה38[[#This Row],[קוד מוצר]],טבלה115179[כמות])</f>
        <v>0</v>
      </c>
      <c r="M125" s="655">
        <f>SUMIF(טבלה115[מקט],טבלה38[[#This Row],[קוד מוצר]],טבלה115[כמות])</f>
        <v>0</v>
      </c>
      <c r="N125" s="655">
        <f>SUMIF(טבלה1[מק"ט],טבלה38[[#This Row],[קוד מוצר]],טבלה1[כמות])</f>
        <v>0</v>
      </c>
      <c r="O125" s="655">
        <f>SUMIF(טבלה8[מק"ט],טבלה38[[#This Row],[קוד מוצר]],טבלה8[הזמנה])</f>
        <v>0</v>
      </c>
      <c r="P125" s="655">
        <f>SUMIF(טבלה15[מק"ט],טבלה38[[#This Row],[קוד מוצר]],טבלה15[הזמנה])</f>
        <v>0</v>
      </c>
      <c r="Q125" s="655">
        <f>SUMIF(טבלה1151718[מקט],טבלה38[[#This Row],[קוד מוצר]],טבלה1151718[כמות])</f>
        <v>0</v>
      </c>
      <c r="R125" s="655">
        <f>SUMIF(טבלה125[מקט],טבלה38[[#This Row],[קוד מוצר]],טבלה125[כמות])</f>
        <v>0</v>
      </c>
      <c r="S125" s="655">
        <f>SUMIF(טבלה33[מק"ט],טבלה38[[#This Row],[קוד מוצר]],טבלה33[הזמנה])</f>
        <v>0</v>
      </c>
      <c r="T125" s="655">
        <f>SUMIF(טבלה34[עמודה1],טבלה38[[#This Row],[קוד מוצר]],טבלה34[הזמנה])</f>
        <v>0</v>
      </c>
      <c r="U125" s="655">
        <f>SUMIF(טבלה35[עמודה1],טבלה38[[#This Row],[קוד מוצר]],טבלה35[הזמנה])</f>
        <v>0</v>
      </c>
      <c r="V125" s="655">
        <f>SUMIF(טבלה3338[מק"ט],טבלה38[[#This Row],[קוד מוצר]],טבלה3338[הזמנה])</f>
        <v>0</v>
      </c>
      <c r="W125" s="655">
        <f>SUMIF(טבלה3540[עמודה1],טבלה38[[#This Row],[קוד מוצר]],טבלה3540[הזמנה])</f>
        <v>0</v>
      </c>
      <c r="X125" s="655">
        <f>SUMIF(טבלה3441[עמודה1],טבלה38[[#This Row],[קוד מוצר]],טבלה3441[הזמנה])</f>
        <v>0</v>
      </c>
      <c r="Y125" s="655">
        <f>SUMIF(טבלה24[מקט],טבלה38[[#This Row],[קוד מוצר]],טבלה24[כמות])</f>
        <v>0</v>
      </c>
      <c r="Z125" s="655">
        <f>SUMIF(טבלה628[קוד מוצר],טבלה38[[#This Row],[קוד מוצר]],טבלה628[תוספת])</f>
        <v>0</v>
      </c>
      <c r="AA125" s="610">
        <f>טבלה38[[#This Row],[פימת קפה]]*טבלה38[[#This Row],[מחיר ליח'' כולל ]]</f>
        <v>0</v>
      </c>
      <c r="AB125" s="610">
        <f>טבלה38[[#This Row],[פת שחרית]]*טבלה38[[#This Row],[מחיר ליח'' כולל ]]</f>
        <v>0</v>
      </c>
      <c r="AC125" s="610">
        <f>טבלה38[[#This Row],[א. בוקר פריסה]]*טבלה38[[#This Row],[מחיר ליח'' כולל ]]</f>
        <v>0</v>
      </c>
      <c r="AD125" s="666">
        <f>טבלה38[[#This Row],[א. צהררים פריסה ]]*טבלה38[[#This Row],[מחיר ליח'' כולל ]]</f>
        <v>0</v>
      </c>
      <c r="AE125" s="666">
        <f>טבלה38[[#This Row],[בוקר קיטים]]*טבלה38[[#This Row],[מחיר ליח'' כולל ]]</f>
        <v>0</v>
      </c>
      <c r="AF125" s="666">
        <f>טבלה38[[#This Row],[צהריים קיטים]]*טבלה38[[#This Row],[מחיר ליח'' כולל ]]</f>
        <v>0</v>
      </c>
      <c r="AG125" s="666">
        <f>טבלה38[[#This Row],[פריסת אמצע]]*טבלה38[[#This Row],[מחיר ליח'' כולל ]]</f>
        <v>0</v>
      </c>
      <c r="AH125" s="666">
        <f>טבלה38[[#This Row],[מרק]]*טבלה38[[#This Row],[מחיר ליח'' כולל ]]</f>
        <v>0</v>
      </c>
      <c r="AI125" s="666">
        <f>טבלה38[[#This Row],[ערב בישול 1]]*טבלה38[[#This Row],[מחיר ליח'' כולל ]]</f>
        <v>0</v>
      </c>
      <c r="AJ125" s="666">
        <f>טבלה38[[#This Row],[ערב בישול 2]]*טבלה38[[#This Row],[מחיר ליח'' כולל ]]</f>
        <v>0</v>
      </c>
      <c r="AK125" s="666">
        <f>טבלה38[[#This Row],[ערב בישול 3]]*טבלה38[[#This Row],[מחיר ליח'' כולל ]]</f>
        <v>0</v>
      </c>
      <c r="AL125" s="666">
        <f>טבלה38[[#This Row],[ערב קטן 1]]*טבלה38[[#This Row],[מחיר ליח'' כולל ]]</f>
        <v>0</v>
      </c>
      <c r="AM125" s="666">
        <f>טבלה38[[#This Row],[ערב קטן 2]]*טבלה38[[#This Row],[מחיר ליח'' כולל ]]</f>
        <v>0</v>
      </c>
      <c r="AN125" s="666">
        <f>טבלה38[[#This Row],[ערב קטן 3]]*טבלה38[[#This Row],[מחיר ליח'' כולל ]]</f>
        <v>0</v>
      </c>
      <c r="AO125" s="666">
        <f>טבלה38[[#This Row],[קיטים מיוחדים]]*טבלה38[[#This Row],[מחיר ליח'' כולל ]]</f>
        <v>0</v>
      </c>
      <c r="AP125" s="666">
        <f>טבלה38[[#This Row],[תוספות]]*טבלה38[[#This Row],[מחיר ליח'' כולל ]]</f>
        <v>0</v>
      </c>
    </row>
    <row r="126" spans="2:42" ht="14.4">
      <c r="B126" s="651">
        <v>5860</v>
      </c>
      <c r="C126" s="650" t="s">
        <v>1062</v>
      </c>
      <c r="D126" s="650" t="s">
        <v>240</v>
      </c>
      <c r="E126" s="650"/>
      <c r="F126" s="649" t="str">
        <f>IF(טבלה38[[#This Row],[סה"כ]]&gt;0,טבלה38[[#This Row],[סה"כ]],"")</f>
        <v/>
      </c>
      <c r="G126" s="656">
        <v>0.17</v>
      </c>
      <c r="H126" s="655">
        <f>טבלה38[[#This Row],[מחיר]]+טבלה38[[#This Row],[% מע"מ]]*טבלה38[[#This Row],[מחיר]]</f>
        <v>0</v>
      </c>
      <c r="I126" s="630">
        <f>טבלה38[[#This Row],[סה"כ]]*טבלה38[[#This Row],[מחיר ליח'' כולל ]]</f>
        <v>0</v>
      </c>
      <c r="J126" s="655">
        <f>SUM(טבלה38[[#This Row],[פימת קפה]:[תוספות]])</f>
        <v>0</v>
      </c>
      <c r="K126" s="655">
        <f>SUMIF(טבלה11517[מקט],טבלה38[[#This Row],[קוד מוצר]],טבלה11517[כמות])</f>
        <v>0</v>
      </c>
      <c r="L126" s="655">
        <f>SUMIF(טבלה115179[מקט],טבלה38[[#This Row],[קוד מוצר]],טבלה115179[כמות])</f>
        <v>0</v>
      </c>
      <c r="M126" s="655">
        <f>SUMIF(טבלה115[מקט],טבלה38[[#This Row],[קוד מוצר]],טבלה115[כמות])</f>
        <v>0</v>
      </c>
      <c r="N126" s="655">
        <f>SUMIF(טבלה1[מק"ט],טבלה38[[#This Row],[קוד מוצר]],טבלה1[כמות])</f>
        <v>0</v>
      </c>
      <c r="O126" s="655">
        <f>SUMIF(טבלה8[מק"ט],טבלה38[[#This Row],[קוד מוצר]],טבלה8[הזמנה])</f>
        <v>0</v>
      </c>
      <c r="P126" s="655">
        <f>SUMIF(טבלה15[מק"ט],טבלה38[[#This Row],[קוד מוצר]],טבלה15[הזמנה])</f>
        <v>0</v>
      </c>
      <c r="Q126" s="655">
        <f>SUMIF(טבלה1151718[מקט],טבלה38[[#This Row],[קוד מוצר]],טבלה1151718[כמות])</f>
        <v>0</v>
      </c>
      <c r="R126" s="655">
        <f>SUMIF(טבלה125[מקט],טבלה38[[#This Row],[קוד מוצר]],טבלה125[כמות])</f>
        <v>0</v>
      </c>
      <c r="S126" s="655">
        <f>SUMIF(טבלה33[מק"ט],טבלה38[[#This Row],[קוד מוצר]],טבלה33[הזמנה])</f>
        <v>0</v>
      </c>
      <c r="T126" s="655">
        <f>SUMIF(טבלה34[עמודה1],טבלה38[[#This Row],[קוד מוצר]],טבלה34[הזמנה])</f>
        <v>0</v>
      </c>
      <c r="U126" s="655">
        <f>SUMIF(טבלה35[עמודה1],טבלה38[[#This Row],[קוד מוצר]],טבלה35[הזמנה])</f>
        <v>0</v>
      </c>
      <c r="V126" s="655">
        <f>SUMIF(טבלה3338[מק"ט],טבלה38[[#This Row],[קוד מוצר]],טבלה3338[הזמנה])</f>
        <v>0</v>
      </c>
      <c r="W126" s="655">
        <f>SUMIF(טבלה3540[עמודה1],טבלה38[[#This Row],[קוד מוצר]],טבלה3540[הזמנה])</f>
        <v>0</v>
      </c>
      <c r="X126" s="655">
        <f>SUMIF(טבלה3441[עמודה1],טבלה38[[#This Row],[קוד מוצר]],טבלה3441[הזמנה])</f>
        <v>0</v>
      </c>
      <c r="Y126" s="655">
        <f>SUMIF(טבלה24[מקט],טבלה38[[#This Row],[קוד מוצר]],טבלה24[כמות])</f>
        <v>0</v>
      </c>
      <c r="Z126" s="655">
        <f>SUMIF(טבלה628[קוד מוצר],טבלה38[[#This Row],[קוד מוצר]],טבלה628[תוספת])</f>
        <v>0</v>
      </c>
      <c r="AA126" s="610">
        <f>טבלה38[[#This Row],[פימת קפה]]*טבלה38[[#This Row],[מחיר ליח'' כולל ]]</f>
        <v>0</v>
      </c>
      <c r="AB126" s="610">
        <f>טבלה38[[#This Row],[פת שחרית]]*טבלה38[[#This Row],[מחיר ליח'' כולל ]]</f>
        <v>0</v>
      </c>
      <c r="AC126" s="610">
        <f>טבלה38[[#This Row],[א. בוקר פריסה]]*טבלה38[[#This Row],[מחיר ליח'' כולל ]]</f>
        <v>0</v>
      </c>
      <c r="AD126" s="666">
        <f>טבלה38[[#This Row],[א. צהררים פריסה ]]*טבלה38[[#This Row],[מחיר ליח'' כולל ]]</f>
        <v>0</v>
      </c>
      <c r="AE126" s="666">
        <f>טבלה38[[#This Row],[בוקר קיטים]]*טבלה38[[#This Row],[מחיר ליח'' כולל ]]</f>
        <v>0</v>
      </c>
      <c r="AF126" s="666">
        <f>טבלה38[[#This Row],[צהריים קיטים]]*טבלה38[[#This Row],[מחיר ליח'' כולל ]]</f>
        <v>0</v>
      </c>
      <c r="AG126" s="666">
        <f>טבלה38[[#This Row],[פריסת אמצע]]*טבלה38[[#This Row],[מחיר ליח'' כולל ]]</f>
        <v>0</v>
      </c>
      <c r="AH126" s="666">
        <f>טבלה38[[#This Row],[מרק]]*טבלה38[[#This Row],[מחיר ליח'' כולל ]]</f>
        <v>0</v>
      </c>
      <c r="AI126" s="666">
        <f>טבלה38[[#This Row],[ערב בישול 1]]*טבלה38[[#This Row],[מחיר ליח'' כולל ]]</f>
        <v>0</v>
      </c>
      <c r="AJ126" s="666">
        <f>טבלה38[[#This Row],[ערב בישול 2]]*טבלה38[[#This Row],[מחיר ליח'' כולל ]]</f>
        <v>0</v>
      </c>
      <c r="AK126" s="666">
        <f>טבלה38[[#This Row],[ערב בישול 3]]*טבלה38[[#This Row],[מחיר ליח'' כולל ]]</f>
        <v>0</v>
      </c>
      <c r="AL126" s="666">
        <f>טבלה38[[#This Row],[ערב קטן 1]]*טבלה38[[#This Row],[מחיר ליח'' כולל ]]</f>
        <v>0</v>
      </c>
      <c r="AM126" s="666">
        <f>טבלה38[[#This Row],[ערב קטן 2]]*טבלה38[[#This Row],[מחיר ליח'' כולל ]]</f>
        <v>0</v>
      </c>
      <c r="AN126" s="666">
        <f>טבלה38[[#This Row],[ערב קטן 3]]*טבלה38[[#This Row],[מחיר ליח'' כולל ]]</f>
        <v>0</v>
      </c>
      <c r="AO126" s="666">
        <f>טבלה38[[#This Row],[קיטים מיוחדים]]*טבלה38[[#This Row],[מחיר ליח'' כולל ]]</f>
        <v>0</v>
      </c>
      <c r="AP126" s="666">
        <f>טבלה38[[#This Row],[תוספות]]*טבלה38[[#This Row],[מחיר ליח'' כולל ]]</f>
        <v>0</v>
      </c>
    </row>
    <row r="127" spans="2:42" ht="14.4">
      <c r="B127" s="651">
        <v>5861</v>
      </c>
      <c r="C127" s="650" t="s">
        <v>1063</v>
      </c>
      <c r="D127" s="650" t="s">
        <v>240</v>
      </c>
      <c r="E127" s="650"/>
      <c r="F127" s="649" t="str">
        <f>IF(טבלה38[[#This Row],[סה"כ]]&gt;0,טבלה38[[#This Row],[סה"כ]],"")</f>
        <v/>
      </c>
      <c r="G127" s="656">
        <v>0.17</v>
      </c>
      <c r="H127" s="655">
        <f>טבלה38[[#This Row],[מחיר]]+טבלה38[[#This Row],[% מע"מ]]*טבלה38[[#This Row],[מחיר]]</f>
        <v>0</v>
      </c>
      <c r="I127" s="630">
        <f>טבלה38[[#This Row],[סה"כ]]*טבלה38[[#This Row],[מחיר ליח'' כולל ]]</f>
        <v>0</v>
      </c>
      <c r="J127" s="655">
        <f>SUM(טבלה38[[#This Row],[פימת קפה]:[תוספות]])</f>
        <v>0</v>
      </c>
      <c r="K127" s="655">
        <f>SUMIF(טבלה11517[מקט],טבלה38[[#This Row],[קוד מוצר]],טבלה11517[כמות])</f>
        <v>0</v>
      </c>
      <c r="L127" s="655">
        <f>SUMIF(טבלה115179[מקט],טבלה38[[#This Row],[קוד מוצר]],טבלה115179[כמות])</f>
        <v>0</v>
      </c>
      <c r="M127" s="655">
        <f>SUMIF(טבלה115[מקט],טבלה38[[#This Row],[קוד מוצר]],טבלה115[כמות])</f>
        <v>0</v>
      </c>
      <c r="N127" s="655">
        <f>SUMIF(טבלה1[מק"ט],טבלה38[[#This Row],[קוד מוצר]],טבלה1[כמות])</f>
        <v>0</v>
      </c>
      <c r="O127" s="655">
        <f>SUMIF(טבלה8[מק"ט],טבלה38[[#This Row],[קוד מוצר]],טבלה8[הזמנה])</f>
        <v>0</v>
      </c>
      <c r="P127" s="655">
        <f>SUMIF(טבלה15[מק"ט],טבלה38[[#This Row],[קוד מוצר]],טבלה15[הזמנה])</f>
        <v>0</v>
      </c>
      <c r="Q127" s="655">
        <f>SUMIF(טבלה1151718[מקט],טבלה38[[#This Row],[קוד מוצר]],טבלה1151718[כמות])</f>
        <v>0</v>
      </c>
      <c r="R127" s="655">
        <f>SUMIF(טבלה125[מקט],טבלה38[[#This Row],[קוד מוצר]],טבלה125[כמות])</f>
        <v>0</v>
      </c>
      <c r="S127" s="655">
        <f>SUMIF(טבלה33[מק"ט],טבלה38[[#This Row],[קוד מוצר]],טבלה33[הזמנה])</f>
        <v>0</v>
      </c>
      <c r="T127" s="655">
        <f>SUMIF(טבלה34[עמודה1],טבלה38[[#This Row],[קוד מוצר]],טבלה34[הזמנה])</f>
        <v>0</v>
      </c>
      <c r="U127" s="655">
        <f>SUMIF(טבלה35[עמודה1],טבלה38[[#This Row],[קוד מוצר]],טבלה35[הזמנה])</f>
        <v>0</v>
      </c>
      <c r="V127" s="655">
        <f>SUMIF(טבלה3338[מק"ט],טבלה38[[#This Row],[קוד מוצר]],טבלה3338[הזמנה])</f>
        <v>0</v>
      </c>
      <c r="W127" s="655">
        <f>SUMIF(טבלה3540[עמודה1],טבלה38[[#This Row],[קוד מוצר]],טבלה3540[הזמנה])</f>
        <v>0</v>
      </c>
      <c r="X127" s="655">
        <f>SUMIF(טבלה3441[עמודה1],טבלה38[[#This Row],[קוד מוצר]],טבלה3441[הזמנה])</f>
        <v>0</v>
      </c>
      <c r="Y127" s="655">
        <f>SUMIF(טבלה24[מקט],טבלה38[[#This Row],[קוד מוצר]],טבלה24[כמות])</f>
        <v>0</v>
      </c>
      <c r="Z127" s="655">
        <f>SUMIF(טבלה628[קוד מוצר],טבלה38[[#This Row],[קוד מוצר]],טבלה628[תוספת])</f>
        <v>0</v>
      </c>
      <c r="AA127" s="610">
        <f>טבלה38[[#This Row],[פימת קפה]]*טבלה38[[#This Row],[מחיר ליח'' כולל ]]</f>
        <v>0</v>
      </c>
      <c r="AB127" s="610">
        <f>טבלה38[[#This Row],[פת שחרית]]*טבלה38[[#This Row],[מחיר ליח'' כולל ]]</f>
        <v>0</v>
      </c>
      <c r="AC127" s="610">
        <f>טבלה38[[#This Row],[א. בוקר פריסה]]*טבלה38[[#This Row],[מחיר ליח'' כולל ]]</f>
        <v>0</v>
      </c>
      <c r="AD127" s="666">
        <f>טבלה38[[#This Row],[א. צהררים פריסה ]]*טבלה38[[#This Row],[מחיר ליח'' כולל ]]</f>
        <v>0</v>
      </c>
      <c r="AE127" s="666">
        <f>טבלה38[[#This Row],[בוקר קיטים]]*טבלה38[[#This Row],[מחיר ליח'' כולל ]]</f>
        <v>0</v>
      </c>
      <c r="AF127" s="666">
        <f>טבלה38[[#This Row],[צהריים קיטים]]*טבלה38[[#This Row],[מחיר ליח'' כולל ]]</f>
        <v>0</v>
      </c>
      <c r="AG127" s="666">
        <f>טבלה38[[#This Row],[פריסת אמצע]]*טבלה38[[#This Row],[מחיר ליח'' כולל ]]</f>
        <v>0</v>
      </c>
      <c r="AH127" s="666">
        <f>טבלה38[[#This Row],[מרק]]*טבלה38[[#This Row],[מחיר ליח'' כולל ]]</f>
        <v>0</v>
      </c>
      <c r="AI127" s="666">
        <f>טבלה38[[#This Row],[ערב בישול 1]]*טבלה38[[#This Row],[מחיר ליח'' כולל ]]</f>
        <v>0</v>
      </c>
      <c r="AJ127" s="666">
        <f>טבלה38[[#This Row],[ערב בישול 2]]*טבלה38[[#This Row],[מחיר ליח'' כולל ]]</f>
        <v>0</v>
      </c>
      <c r="AK127" s="666">
        <f>טבלה38[[#This Row],[ערב בישול 3]]*טבלה38[[#This Row],[מחיר ליח'' כולל ]]</f>
        <v>0</v>
      </c>
      <c r="AL127" s="666">
        <f>טבלה38[[#This Row],[ערב קטן 1]]*טבלה38[[#This Row],[מחיר ליח'' כולל ]]</f>
        <v>0</v>
      </c>
      <c r="AM127" s="666">
        <f>טבלה38[[#This Row],[ערב קטן 2]]*טבלה38[[#This Row],[מחיר ליח'' כולל ]]</f>
        <v>0</v>
      </c>
      <c r="AN127" s="666">
        <f>טבלה38[[#This Row],[ערב קטן 3]]*טבלה38[[#This Row],[מחיר ליח'' כולל ]]</f>
        <v>0</v>
      </c>
      <c r="AO127" s="666">
        <f>טבלה38[[#This Row],[קיטים מיוחדים]]*טבלה38[[#This Row],[מחיר ליח'' כולל ]]</f>
        <v>0</v>
      </c>
      <c r="AP127" s="666">
        <f>טבלה38[[#This Row],[תוספות]]*טבלה38[[#This Row],[מחיר ליח'' כולל ]]</f>
        <v>0</v>
      </c>
    </row>
    <row r="128" spans="2:42" ht="14.4">
      <c r="B128" s="651">
        <v>5977</v>
      </c>
      <c r="C128" s="650" t="s">
        <v>1119</v>
      </c>
      <c r="E128" s="650"/>
      <c r="F128" s="649" t="str">
        <f>IF(טבלה38[[#This Row],[סה"כ]]&gt;0,טבלה38[[#This Row],[סה"כ]],"")</f>
        <v/>
      </c>
      <c r="G128" s="656">
        <v>0.17</v>
      </c>
      <c r="H128" s="655">
        <f>טבלה38[[#This Row],[מחיר]]+טבלה38[[#This Row],[% מע"מ]]*טבלה38[[#This Row],[מחיר]]</f>
        <v>0</v>
      </c>
      <c r="I128" s="630">
        <f>טבלה38[[#This Row],[סה"כ]]*טבלה38[[#This Row],[מחיר ליח'' כולל ]]</f>
        <v>0</v>
      </c>
      <c r="J128" s="655">
        <f>SUM(טבלה38[[#This Row],[פימת קפה]:[תוספות]])</f>
        <v>0</v>
      </c>
      <c r="K128" s="655">
        <f>SUMIF(טבלה11517[מקט],טבלה38[[#This Row],[קוד מוצר]],טבלה11517[כמות])</f>
        <v>0</v>
      </c>
      <c r="L128" s="655">
        <f>SUMIF(טבלה115179[מקט],טבלה38[[#This Row],[קוד מוצר]],טבלה115179[כמות])</f>
        <v>0</v>
      </c>
      <c r="M128" s="655">
        <f>SUMIF(טבלה115[מקט],טבלה38[[#This Row],[קוד מוצר]],טבלה115[כמות])</f>
        <v>0</v>
      </c>
      <c r="N128" s="655">
        <f>SUMIF(טבלה1[מק"ט],טבלה38[[#This Row],[קוד מוצר]],טבלה1[כמות])</f>
        <v>0</v>
      </c>
      <c r="O128" s="655">
        <f>SUMIF(טבלה8[מק"ט],טבלה38[[#This Row],[קוד מוצר]],טבלה8[הזמנה])</f>
        <v>0</v>
      </c>
      <c r="P128" s="655">
        <f>SUMIF(טבלה15[מק"ט],טבלה38[[#This Row],[קוד מוצר]],טבלה15[הזמנה])</f>
        <v>0</v>
      </c>
      <c r="Q128" s="655">
        <f>SUMIF(טבלה1151718[מקט],טבלה38[[#This Row],[קוד מוצר]],טבלה1151718[כמות])</f>
        <v>0</v>
      </c>
      <c r="R128" s="655">
        <f>SUMIF(טבלה125[מקט],טבלה38[[#This Row],[קוד מוצר]],טבלה125[כמות])</f>
        <v>0</v>
      </c>
      <c r="S128" s="655">
        <f>SUMIF(טבלה33[מק"ט],טבלה38[[#This Row],[קוד מוצר]],טבלה33[הזמנה])</f>
        <v>0</v>
      </c>
      <c r="T128" s="655">
        <f>SUMIF(טבלה34[עמודה1],טבלה38[[#This Row],[קוד מוצר]],טבלה34[הזמנה])</f>
        <v>0</v>
      </c>
      <c r="U128" s="655">
        <f>SUMIF(טבלה35[עמודה1],טבלה38[[#This Row],[קוד מוצר]],טבלה35[הזמנה])</f>
        <v>0</v>
      </c>
      <c r="V128" s="655">
        <f>SUMIF(טבלה3338[מק"ט],טבלה38[[#This Row],[קוד מוצר]],טבלה3338[הזמנה])</f>
        <v>0</v>
      </c>
      <c r="W128" s="655">
        <f>SUMIF(טבלה3540[עמודה1],טבלה38[[#This Row],[קוד מוצר]],טבלה3540[הזמנה])</f>
        <v>0</v>
      </c>
      <c r="X128" s="655">
        <f>SUMIF(טבלה3441[עמודה1],טבלה38[[#This Row],[קוד מוצר]],טבלה3441[הזמנה])</f>
        <v>0</v>
      </c>
      <c r="Y128" s="655">
        <f>SUMIF(טבלה24[מקט],טבלה38[[#This Row],[קוד מוצר]],טבלה24[כמות])</f>
        <v>0</v>
      </c>
      <c r="Z128" s="655">
        <f>SUMIF(טבלה628[קוד מוצר],טבלה38[[#This Row],[קוד מוצר]],טבלה628[תוספת])</f>
        <v>0</v>
      </c>
      <c r="AA128" s="610">
        <f>טבלה38[[#This Row],[פימת קפה]]*טבלה38[[#This Row],[מחיר ליח'' כולל ]]</f>
        <v>0</v>
      </c>
      <c r="AB128" s="610">
        <f>טבלה38[[#This Row],[פת שחרית]]*טבלה38[[#This Row],[מחיר ליח'' כולל ]]</f>
        <v>0</v>
      </c>
      <c r="AC128" s="610">
        <f>טבלה38[[#This Row],[א. בוקר פריסה]]*טבלה38[[#This Row],[מחיר ליח'' כולל ]]</f>
        <v>0</v>
      </c>
      <c r="AD128" s="666">
        <f>טבלה38[[#This Row],[א. צהררים פריסה ]]*טבלה38[[#This Row],[מחיר ליח'' כולל ]]</f>
        <v>0</v>
      </c>
      <c r="AE128" s="666">
        <f>טבלה38[[#This Row],[בוקר קיטים]]*טבלה38[[#This Row],[מחיר ליח'' כולל ]]</f>
        <v>0</v>
      </c>
      <c r="AF128" s="666">
        <f>טבלה38[[#This Row],[צהריים קיטים]]*טבלה38[[#This Row],[מחיר ליח'' כולל ]]</f>
        <v>0</v>
      </c>
      <c r="AG128" s="666">
        <f>טבלה38[[#This Row],[פריסת אמצע]]*טבלה38[[#This Row],[מחיר ליח'' כולל ]]</f>
        <v>0</v>
      </c>
      <c r="AH128" s="666">
        <f>טבלה38[[#This Row],[מרק]]*טבלה38[[#This Row],[מחיר ליח'' כולל ]]</f>
        <v>0</v>
      </c>
      <c r="AI128" s="666">
        <f>טבלה38[[#This Row],[ערב בישול 1]]*טבלה38[[#This Row],[מחיר ליח'' כולל ]]</f>
        <v>0</v>
      </c>
      <c r="AJ128" s="666">
        <f>טבלה38[[#This Row],[ערב בישול 2]]*טבלה38[[#This Row],[מחיר ליח'' כולל ]]</f>
        <v>0</v>
      </c>
      <c r="AK128" s="666">
        <f>טבלה38[[#This Row],[ערב בישול 3]]*טבלה38[[#This Row],[מחיר ליח'' כולל ]]</f>
        <v>0</v>
      </c>
      <c r="AL128" s="666">
        <f>טבלה38[[#This Row],[ערב קטן 1]]*טבלה38[[#This Row],[מחיר ליח'' כולל ]]</f>
        <v>0</v>
      </c>
      <c r="AM128" s="666">
        <f>טבלה38[[#This Row],[ערב קטן 2]]*טבלה38[[#This Row],[מחיר ליח'' כולל ]]</f>
        <v>0</v>
      </c>
      <c r="AN128" s="666">
        <f>טבלה38[[#This Row],[ערב קטן 3]]*טבלה38[[#This Row],[מחיר ליח'' כולל ]]</f>
        <v>0</v>
      </c>
      <c r="AO128" s="666">
        <f>טבלה38[[#This Row],[קיטים מיוחדים]]*טבלה38[[#This Row],[מחיר ליח'' כולל ]]</f>
        <v>0</v>
      </c>
      <c r="AP128" s="666">
        <f>טבלה38[[#This Row],[תוספות]]*טבלה38[[#This Row],[מחיר ליח'' כולל ]]</f>
        <v>0</v>
      </c>
    </row>
    <row r="129" spans="2:42" ht="14.4">
      <c r="B129" s="651">
        <v>5980</v>
      </c>
      <c r="C129" s="650" t="s">
        <v>1125</v>
      </c>
      <c r="E129" s="650"/>
      <c r="F129" s="649" t="str">
        <f>IF(טבלה38[[#This Row],[סה"כ]]&gt;0,טבלה38[[#This Row],[סה"כ]],"")</f>
        <v/>
      </c>
      <c r="G129" s="656">
        <v>0.17</v>
      </c>
      <c r="H129" s="655">
        <f>טבלה38[[#This Row],[מחיר]]+טבלה38[[#This Row],[% מע"מ]]*טבלה38[[#This Row],[מחיר]]</f>
        <v>0</v>
      </c>
      <c r="I129" s="630">
        <f>טבלה38[[#This Row],[סה"כ]]*טבלה38[[#This Row],[מחיר ליח'' כולל ]]</f>
        <v>0</v>
      </c>
      <c r="J129" s="655">
        <f>SUM(טבלה38[[#This Row],[פימת קפה]:[תוספות]])</f>
        <v>0</v>
      </c>
      <c r="K129" s="655">
        <f>SUMIF(טבלה11517[מקט],טבלה38[[#This Row],[קוד מוצר]],טבלה11517[כמות])</f>
        <v>0</v>
      </c>
      <c r="L129" s="655">
        <f>SUMIF(טבלה115179[מקט],טבלה38[[#This Row],[קוד מוצר]],טבלה115179[כמות])</f>
        <v>0</v>
      </c>
      <c r="M129" s="655">
        <f>SUMIF(טבלה115[מקט],טבלה38[[#This Row],[קוד מוצר]],טבלה115[כמות])</f>
        <v>0</v>
      </c>
      <c r="N129" s="655">
        <f>SUMIF(טבלה1[מק"ט],טבלה38[[#This Row],[קוד מוצר]],טבלה1[כמות])</f>
        <v>0</v>
      </c>
      <c r="O129" s="655">
        <f>SUMIF(טבלה8[מק"ט],טבלה38[[#This Row],[קוד מוצר]],טבלה8[הזמנה])</f>
        <v>0</v>
      </c>
      <c r="P129" s="655">
        <f>SUMIF(טבלה15[מק"ט],טבלה38[[#This Row],[קוד מוצר]],טבלה15[הזמנה])</f>
        <v>0</v>
      </c>
      <c r="Q129" s="655">
        <f>SUMIF(טבלה1151718[מקט],טבלה38[[#This Row],[קוד מוצר]],טבלה1151718[כמות])</f>
        <v>0</v>
      </c>
      <c r="R129" s="655">
        <f>SUMIF(טבלה125[מקט],טבלה38[[#This Row],[קוד מוצר]],טבלה125[כמות])</f>
        <v>0</v>
      </c>
      <c r="S129" s="655">
        <f>SUMIF(טבלה33[מק"ט],טבלה38[[#This Row],[קוד מוצר]],טבלה33[הזמנה])</f>
        <v>0</v>
      </c>
      <c r="T129" s="655">
        <f>SUMIF(טבלה34[עמודה1],טבלה38[[#This Row],[קוד מוצר]],טבלה34[הזמנה])</f>
        <v>0</v>
      </c>
      <c r="U129" s="655">
        <f>SUMIF(טבלה35[עמודה1],טבלה38[[#This Row],[קוד מוצר]],טבלה35[הזמנה])</f>
        <v>0</v>
      </c>
      <c r="V129" s="655">
        <f>SUMIF(טבלה3338[מק"ט],טבלה38[[#This Row],[קוד מוצר]],טבלה3338[הזמנה])</f>
        <v>0</v>
      </c>
      <c r="W129" s="655">
        <f>SUMIF(טבלה3540[עמודה1],טבלה38[[#This Row],[קוד מוצר]],טבלה3540[הזמנה])</f>
        <v>0</v>
      </c>
      <c r="X129" s="655">
        <f>SUMIF(טבלה3441[עמודה1],טבלה38[[#This Row],[קוד מוצר]],טבלה3441[הזמנה])</f>
        <v>0</v>
      </c>
      <c r="Y129" s="655">
        <f>SUMIF(טבלה24[מקט],טבלה38[[#This Row],[קוד מוצר]],טבלה24[כמות])</f>
        <v>0</v>
      </c>
      <c r="Z129" s="655">
        <f>SUMIF(טבלה628[קוד מוצר],טבלה38[[#This Row],[קוד מוצר]],טבלה628[תוספת])</f>
        <v>0</v>
      </c>
      <c r="AA129" s="610">
        <f>טבלה38[[#This Row],[פימת קפה]]*טבלה38[[#This Row],[מחיר ליח'' כולל ]]</f>
        <v>0</v>
      </c>
      <c r="AB129" s="610">
        <f>טבלה38[[#This Row],[פת שחרית]]*טבלה38[[#This Row],[מחיר ליח'' כולל ]]</f>
        <v>0</v>
      </c>
      <c r="AC129" s="610">
        <f>טבלה38[[#This Row],[א. בוקר פריסה]]*טבלה38[[#This Row],[מחיר ליח'' כולל ]]</f>
        <v>0</v>
      </c>
      <c r="AD129" s="666">
        <f>טבלה38[[#This Row],[א. צהררים פריסה ]]*טבלה38[[#This Row],[מחיר ליח'' כולל ]]</f>
        <v>0</v>
      </c>
      <c r="AE129" s="666">
        <f>טבלה38[[#This Row],[בוקר קיטים]]*טבלה38[[#This Row],[מחיר ליח'' כולל ]]</f>
        <v>0</v>
      </c>
      <c r="AF129" s="666">
        <f>טבלה38[[#This Row],[צהריים קיטים]]*טבלה38[[#This Row],[מחיר ליח'' כולל ]]</f>
        <v>0</v>
      </c>
      <c r="AG129" s="666">
        <f>טבלה38[[#This Row],[פריסת אמצע]]*טבלה38[[#This Row],[מחיר ליח'' כולל ]]</f>
        <v>0</v>
      </c>
      <c r="AH129" s="666">
        <f>טבלה38[[#This Row],[מרק]]*טבלה38[[#This Row],[מחיר ליח'' כולל ]]</f>
        <v>0</v>
      </c>
      <c r="AI129" s="666">
        <f>טבלה38[[#This Row],[ערב בישול 1]]*טבלה38[[#This Row],[מחיר ליח'' כולל ]]</f>
        <v>0</v>
      </c>
      <c r="AJ129" s="666">
        <f>טבלה38[[#This Row],[ערב בישול 2]]*טבלה38[[#This Row],[מחיר ליח'' כולל ]]</f>
        <v>0</v>
      </c>
      <c r="AK129" s="666">
        <f>טבלה38[[#This Row],[ערב בישול 3]]*טבלה38[[#This Row],[מחיר ליח'' כולל ]]</f>
        <v>0</v>
      </c>
      <c r="AL129" s="666">
        <f>טבלה38[[#This Row],[ערב קטן 1]]*טבלה38[[#This Row],[מחיר ליח'' כולל ]]</f>
        <v>0</v>
      </c>
      <c r="AM129" s="666">
        <f>טבלה38[[#This Row],[ערב קטן 2]]*טבלה38[[#This Row],[מחיר ליח'' כולל ]]</f>
        <v>0</v>
      </c>
      <c r="AN129" s="666">
        <f>טבלה38[[#This Row],[ערב קטן 3]]*טבלה38[[#This Row],[מחיר ליח'' כולל ]]</f>
        <v>0</v>
      </c>
      <c r="AO129" s="666">
        <f>טבלה38[[#This Row],[קיטים מיוחדים]]*טבלה38[[#This Row],[מחיר ליח'' כולל ]]</f>
        <v>0</v>
      </c>
      <c r="AP129" s="666">
        <f>טבלה38[[#This Row],[תוספות]]*טבלה38[[#This Row],[מחיר ליח'' כולל ]]</f>
        <v>0</v>
      </c>
    </row>
    <row r="130" spans="2:42" ht="14.4">
      <c r="B130" s="651">
        <v>6041</v>
      </c>
      <c r="C130" s="650" t="s">
        <v>941</v>
      </c>
      <c r="D130" s="650" t="s">
        <v>602</v>
      </c>
      <c r="E130" s="650"/>
      <c r="F130" s="649" t="str">
        <f>IF(טבלה38[[#This Row],[סה"כ]]&gt;0,טבלה38[[#This Row],[סה"כ]],"")</f>
        <v/>
      </c>
      <c r="G130" s="656">
        <v>0.17</v>
      </c>
      <c r="H130" s="655">
        <f>טבלה38[[#This Row],[מחיר]]+טבלה38[[#This Row],[% מע"מ]]*טבלה38[[#This Row],[מחיר]]</f>
        <v>0</v>
      </c>
      <c r="I130" s="630">
        <f>טבלה38[[#This Row],[סה"כ]]*טבלה38[[#This Row],[מחיר ליח'' כולל ]]</f>
        <v>0</v>
      </c>
      <c r="J130" s="655">
        <f>SUM(טבלה38[[#This Row],[פימת קפה]:[תוספות]])</f>
        <v>0</v>
      </c>
      <c r="K130" s="655">
        <f>SUMIF(טבלה11517[מקט],טבלה38[[#This Row],[קוד מוצר]],טבלה11517[כמות])</f>
        <v>0</v>
      </c>
      <c r="L130" s="655">
        <f>SUMIF(טבלה115179[מקט],טבלה38[[#This Row],[קוד מוצר]],טבלה115179[כמות])</f>
        <v>0</v>
      </c>
      <c r="M130" s="655">
        <f>SUMIF(טבלה115[מקט],טבלה38[[#This Row],[קוד מוצר]],טבלה115[כמות])</f>
        <v>0</v>
      </c>
      <c r="N130" s="655">
        <f>SUMIF(טבלה1[מק"ט],טבלה38[[#This Row],[קוד מוצר]],טבלה1[כמות])</f>
        <v>0</v>
      </c>
      <c r="O130" s="655">
        <f>SUMIF(טבלה8[מק"ט],טבלה38[[#This Row],[קוד מוצר]],טבלה8[הזמנה])</f>
        <v>0</v>
      </c>
      <c r="P130" s="655">
        <f>SUMIF(טבלה15[מק"ט],טבלה38[[#This Row],[קוד מוצר]],טבלה15[הזמנה])</f>
        <v>0</v>
      </c>
      <c r="Q130" s="655">
        <f>SUMIF(טבלה1151718[מקט],טבלה38[[#This Row],[קוד מוצר]],טבלה1151718[כמות])</f>
        <v>0</v>
      </c>
      <c r="R130" s="655">
        <f>SUMIF(טבלה125[מקט],טבלה38[[#This Row],[קוד מוצר]],טבלה125[כמות])</f>
        <v>0</v>
      </c>
      <c r="S130" s="655">
        <f>SUMIF(טבלה33[מק"ט],טבלה38[[#This Row],[קוד מוצר]],טבלה33[הזמנה])</f>
        <v>0</v>
      </c>
      <c r="T130" s="655">
        <f>SUMIF(טבלה34[עמודה1],טבלה38[[#This Row],[קוד מוצר]],טבלה34[הזמנה])</f>
        <v>0</v>
      </c>
      <c r="U130" s="655">
        <f>SUMIF(טבלה35[עמודה1],טבלה38[[#This Row],[קוד מוצר]],טבלה35[הזמנה])</f>
        <v>0</v>
      </c>
      <c r="V130" s="655">
        <f>SUMIF(טבלה3338[מק"ט],טבלה38[[#This Row],[קוד מוצר]],טבלה3338[הזמנה])</f>
        <v>0</v>
      </c>
      <c r="W130" s="655">
        <f>SUMIF(טבלה3540[עמודה1],טבלה38[[#This Row],[קוד מוצר]],טבלה3540[הזמנה])</f>
        <v>0</v>
      </c>
      <c r="X130" s="655">
        <f>SUMIF(טבלה3441[עמודה1],טבלה38[[#This Row],[קוד מוצר]],טבלה3441[הזמנה])</f>
        <v>0</v>
      </c>
      <c r="Y130" s="655">
        <f>SUMIF(טבלה24[מקט],טבלה38[[#This Row],[קוד מוצר]],טבלה24[כמות])</f>
        <v>0</v>
      </c>
      <c r="Z130" s="655">
        <f>SUMIF(טבלה628[קוד מוצר],טבלה38[[#This Row],[קוד מוצר]],טבלה628[תוספת])</f>
        <v>0</v>
      </c>
      <c r="AA130" s="610">
        <f>טבלה38[[#This Row],[פימת קפה]]*טבלה38[[#This Row],[מחיר ליח'' כולל ]]</f>
        <v>0</v>
      </c>
      <c r="AB130" s="610">
        <f>טבלה38[[#This Row],[פת שחרית]]*טבלה38[[#This Row],[מחיר ליח'' כולל ]]</f>
        <v>0</v>
      </c>
      <c r="AC130" s="610">
        <f>טבלה38[[#This Row],[א. בוקר פריסה]]*טבלה38[[#This Row],[מחיר ליח'' כולל ]]</f>
        <v>0</v>
      </c>
      <c r="AD130" s="666">
        <f>טבלה38[[#This Row],[א. צהררים פריסה ]]*טבלה38[[#This Row],[מחיר ליח'' כולל ]]</f>
        <v>0</v>
      </c>
      <c r="AE130" s="666">
        <f>טבלה38[[#This Row],[בוקר קיטים]]*טבלה38[[#This Row],[מחיר ליח'' כולל ]]</f>
        <v>0</v>
      </c>
      <c r="AF130" s="666">
        <f>טבלה38[[#This Row],[צהריים קיטים]]*טבלה38[[#This Row],[מחיר ליח'' כולל ]]</f>
        <v>0</v>
      </c>
      <c r="AG130" s="666">
        <f>טבלה38[[#This Row],[פריסת אמצע]]*טבלה38[[#This Row],[מחיר ליח'' כולל ]]</f>
        <v>0</v>
      </c>
      <c r="AH130" s="666">
        <f>טבלה38[[#This Row],[מרק]]*טבלה38[[#This Row],[מחיר ליח'' כולל ]]</f>
        <v>0</v>
      </c>
      <c r="AI130" s="666">
        <f>טבלה38[[#This Row],[ערב בישול 1]]*טבלה38[[#This Row],[מחיר ליח'' כולל ]]</f>
        <v>0</v>
      </c>
      <c r="AJ130" s="666">
        <f>טבלה38[[#This Row],[ערב בישול 2]]*טבלה38[[#This Row],[מחיר ליח'' כולל ]]</f>
        <v>0</v>
      </c>
      <c r="AK130" s="666">
        <f>טבלה38[[#This Row],[ערב בישול 3]]*טבלה38[[#This Row],[מחיר ליח'' כולל ]]</f>
        <v>0</v>
      </c>
      <c r="AL130" s="666">
        <f>טבלה38[[#This Row],[ערב קטן 1]]*טבלה38[[#This Row],[מחיר ליח'' כולל ]]</f>
        <v>0</v>
      </c>
      <c r="AM130" s="666">
        <f>טבלה38[[#This Row],[ערב קטן 2]]*טבלה38[[#This Row],[מחיר ליח'' כולל ]]</f>
        <v>0</v>
      </c>
      <c r="AN130" s="666">
        <f>טבלה38[[#This Row],[ערב קטן 3]]*טבלה38[[#This Row],[מחיר ליח'' כולל ]]</f>
        <v>0</v>
      </c>
      <c r="AO130" s="666">
        <f>טבלה38[[#This Row],[קיטים מיוחדים]]*טבלה38[[#This Row],[מחיר ליח'' כולל ]]</f>
        <v>0</v>
      </c>
      <c r="AP130" s="666">
        <f>טבלה38[[#This Row],[תוספות]]*טבלה38[[#This Row],[מחיר ליח'' כולל ]]</f>
        <v>0</v>
      </c>
    </row>
    <row r="131" spans="2:42" ht="14.4">
      <c r="B131" s="651">
        <v>6071</v>
      </c>
      <c r="C131" s="650" t="s">
        <v>1065</v>
      </c>
      <c r="E131" s="650"/>
      <c r="F131" s="649" t="str">
        <f>IF(טבלה38[[#This Row],[סה"כ]]&gt;0,טבלה38[[#This Row],[סה"כ]],"")</f>
        <v/>
      </c>
      <c r="G131" s="656">
        <v>0.17</v>
      </c>
      <c r="H131" s="655">
        <f>טבלה38[[#This Row],[מחיר]]+טבלה38[[#This Row],[% מע"מ]]*טבלה38[[#This Row],[מחיר]]</f>
        <v>0</v>
      </c>
      <c r="I131" s="630">
        <f>טבלה38[[#This Row],[סה"כ]]*טבלה38[[#This Row],[מחיר ליח'' כולל ]]</f>
        <v>0</v>
      </c>
      <c r="J131" s="655">
        <f>SUM(טבלה38[[#This Row],[פימת קפה]:[תוספות]])</f>
        <v>0</v>
      </c>
      <c r="K131" s="655">
        <f>SUMIF(טבלה11517[מקט],טבלה38[[#This Row],[קוד מוצר]],טבלה11517[כמות])</f>
        <v>0</v>
      </c>
      <c r="L131" s="655">
        <f>SUMIF(טבלה115179[מקט],טבלה38[[#This Row],[קוד מוצר]],טבלה115179[כמות])</f>
        <v>0</v>
      </c>
      <c r="M131" s="655">
        <f>SUMIF(טבלה115[מקט],טבלה38[[#This Row],[קוד מוצר]],טבלה115[כמות])</f>
        <v>0</v>
      </c>
      <c r="N131" s="655">
        <f>SUMIF(טבלה1[מק"ט],טבלה38[[#This Row],[קוד מוצר]],טבלה1[כמות])</f>
        <v>0</v>
      </c>
      <c r="O131" s="655">
        <f>SUMIF(טבלה8[מק"ט],טבלה38[[#This Row],[קוד מוצר]],טבלה8[הזמנה])</f>
        <v>0</v>
      </c>
      <c r="P131" s="655">
        <f>SUMIF(טבלה15[מק"ט],טבלה38[[#This Row],[קוד מוצר]],טבלה15[הזמנה])</f>
        <v>0</v>
      </c>
      <c r="Q131" s="655">
        <f>SUMIF(טבלה1151718[מקט],טבלה38[[#This Row],[קוד מוצר]],טבלה1151718[כמות])</f>
        <v>0</v>
      </c>
      <c r="R131" s="655">
        <f>SUMIF(טבלה125[מקט],טבלה38[[#This Row],[קוד מוצר]],טבלה125[כמות])</f>
        <v>0</v>
      </c>
      <c r="S131" s="655">
        <f>SUMIF(טבלה33[מק"ט],טבלה38[[#This Row],[קוד מוצר]],טבלה33[הזמנה])</f>
        <v>0</v>
      </c>
      <c r="T131" s="655">
        <f>SUMIF(טבלה34[עמודה1],טבלה38[[#This Row],[קוד מוצר]],טבלה34[הזמנה])</f>
        <v>0</v>
      </c>
      <c r="U131" s="655">
        <f>SUMIF(טבלה35[עמודה1],טבלה38[[#This Row],[קוד מוצר]],טבלה35[הזמנה])</f>
        <v>0</v>
      </c>
      <c r="V131" s="655">
        <f>SUMIF(טבלה3338[מק"ט],טבלה38[[#This Row],[קוד מוצר]],טבלה3338[הזמנה])</f>
        <v>0</v>
      </c>
      <c r="W131" s="655">
        <f>SUMIF(טבלה3540[עמודה1],טבלה38[[#This Row],[קוד מוצר]],טבלה3540[הזמנה])</f>
        <v>0</v>
      </c>
      <c r="X131" s="655">
        <f>SUMIF(טבלה3441[עמודה1],טבלה38[[#This Row],[קוד מוצר]],טבלה3441[הזמנה])</f>
        <v>0</v>
      </c>
      <c r="Y131" s="655">
        <f>SUMIF(טבלה24[מקט],טבלה38[[#This Row],[קוד מוצר]],טבלה24[כמות])</f>
        <v>0</v>
      </c>
      <c r="Z131" s="655">
        <f>SUMIF(טבלה628[קוד מוצר],טבלה38[[#This Row],[קוד מוצר]],טבלה628[תוספת])</f>
        <v>0</v>
      </c>
      <c r="AA131" s="610">
        <f>טבלה38[[#This Row],[פימת קפה]]*טבלה38[[#This Row],[מחיר ליח'' כולל ]]</f>
        <v>0</v>
      </c>
      <c r="AB131" s="610">
        <f>טבלה38[[#This Row],[פת שחרית]]*טבלה38[[#This Row],[מחיר ליח'' כולל ]]</f>
        <v>0</v>
      </c>
      <c r="AC131" s="610">
        <f>טבלה38[[#This Row],[א. בוקר פריסה]]*טבלה38[[#This Row],[מחיר ליח'' כולל ]]</f>
        <v>0</v>
      </c>
      <c r="AD131" s="666">
        <f>טבלה38[[#This Row],[א. צהררים פריסה ]]*טבלה38[[#This Row],[מחיר ליח'' כולל ]]</f>
        <v>0</v>
      </c>
      <c r="AE131" s="666">
        <f>טבלה38[[#This Row],[בוקר קיטים]]*טבלה38[[#This Row],[מחיר ליח'' כולל ]]</f>
        <v>0</v>
      </c>
      <c r="AF131" s="666">
        <f>טבלה38[[#This Row],[צהריים קיטים]]*טבלה38[[#This Row],[מחיר ליח'' כולל ]]</f>
        <v>0</v>
      </c>
      <c r="AG131" s="666">
        <f>טבלה38[[#This Row],[פריסת אמצע]]*טבלה38[[#This Row],[מחיר ליח'' כולל ]]</f>
        <v>0</v>
      </c>
      <c r="AH131" s="666">
        <f>טבלה38[[#This Row],[מרק]]*טבלה38[[#This Row],[מחיר ליח'' כולל ]]</f>
        <v>0</v>
      </c>
      <c r="AI131" s="666">
        <f>טבלה38[[#This Row],[ערב בישול 1]]*טבלה38[[#This Row],[מחיר ליח'' כולל ]]</f>
        <v>0</v>
      </c>
      <c r="AJ131" s="666">
        <f>טבלה38[[#This Row],[ערב בישול 2]]*טבלה38[[#This Row],[מחיר ליח'' כולל ]]</f>
        <v>0</v>
      </c>
      <c r="AK131" s="666">
        <f>טבלה38[[#This Row],[ערב בישול 3]]*טבלה38[[#This Row],[מחיר ליח'' כולל ]]</f>
        <v>0</v>
      </c>
      <c r="AL131" s="666">
        <f>טבלה38[[#This Row],[ערב קטן 1]]*טבלה38[[#This Row],[מחיר ליח'' כולל ]]</f>
        <v>0</v>
      </c>
      <c r="AM131" s="666">
        <f>טבלה38[[#This Row],[ערב קטן 2]]*טבלה38[[#This Row],[מחיר ליח'' כולל ]]</f>
        <v>0</v>
      </c>
      <c r="AN131" s="666">
        <f>טבלה38[[#This Row],[ערב קטן 3]]*טבלה38[[#This Row],[מחיר ליח'' כולל ]]</f>
        <v>0</v>
      </c>
      <c r="AO131" s="666">
        <f>טבלה38[[#This Row],[קיטים מיוחדים]]*טבלה38[[#This Row],[מחיר ליח'' כולל ]]</f>
        <v>0</v>
      </c>
      <c r="AP131" s="666">
        <f>טבלה38[[#This Row],[תוספות]]*טבלה38[[#This Row],[מחיר ליח'' כולל ]]</f>
        <v>0</v>
      </c>
    </row>
    <row r="132" spans="2:42" ht="14.4">
      <c r="B132" s="651">
        <v>6179</v>
      </c>
      <c r="C132" s="650" t="s">
        <v>1059</v>
      </c>
      <c r="D132" s="650" t="s">
        <v>240</v>
      </c>
      <c r="E132" s="650"/>
      <c r="F132" s="649" t="str">
        <f>IF(טבלה38[[#This Row],[סה"כ]]&gt;0,טבלה38[[#This Row],[סה"כ]],"")</f>
        <v/>
      </c>
      <c r="G132" s="656">
        <v>0.17</v>
      </c>
      <c r="H132" s="655">
        <f>טבלה38[[#This Row],[מחיר]]+טבלה38[[#This Row],[% מע"מ]]*טבלה38[[#This Row],[מחיר]]</f>
        <v>0</v>
      </c>
      <c r="I132" s="630">
        <f>טבלה38[[#This Row],[סה"כ]]*טבלה38[[#This Row],[מחיר ליח'' כולל ]]</f>
        <v>0</v>
      </c>
      <c r="J132" s="655">
        <f>SUM(טבלה38[[#This Row],[פימת קפה]:[תוספות]])</f>
        <v>0</v>
      </c>
      <c r="K132" s="655">
        <f>SUMIF(טבלה11517[מקט],טבלה38[[#This Row],[קוד מוצר]],טבלה11517[כמות])</f>
        <v>0</v>
      </c>
      <c r="L132" s="655">
        <f>SUMIF(טבלה115179[מקט],טבלה38[[#This Row],[קוד מוצר]],טבלה115179[כמות])</f>
        <v>0</v>
      </c>
      <c r="M132" s="655">
        <f>SUMIF(טבלה115[מקט],טבלה38[[#This Row],[קוד מוצר]],טבלה115[כמות])</f>
        <v>0</v>
      </c>
      <c r="N132" s="655">
        <f>SUMIF(טבלה1[מק"ט],טבלה38[[#This Row],[קוד מוצר]],טבלה1[כמות])</f>
        <v>0</v>
      </c>
      <c r="O132" s="655">
        <f>SUMIF(טבלה8[מק"ט],טבלה38[[#This Row],[קוד מוצר]],טבלה8[הזמנה])</f>
        <v>0</v>
      </c>
      <c r="P132" s="655">
        <f>SUMIF(טבלה15[מק"ט],טבלה38[[#This Row],[קוד מוצר]],טבלה15[הזמנה])</f>
        <v>0</v>
      </c>
      <c r="Q132" s="655">
        <f>SUMIF(טבלה1151718[מקט],טבלה38[[#This Row],[קוד מוצר]],טבלה1151718[כמות])</f>
        <v>0</v>
      </c>
      <c r="R132" s="655">
        <f>SUMIF(טבלה125[מקט],טבלה38[[#This Row],[קוד מוצר]],טבלה125[כמות])</f>
        <v>0</v>
      </c>
      <c r="S132" s="655">
        <f>SUMIF(טבלה33[מק"ט],טבלה38[[#This Row],[קוד מוצר]],טבלה33[הזמנה])</f>
        <v>0</v>
      </c>
      <c r="T132" s="655">
        <f>SUMIF(טבלה34[עמודה1],טבלה38[[#This Row],[קוד מוצר]],טבלה34[הזמנה])</f>
        <v>0</v>
      </c>
      <c r="U132" s="655">
        <f>SUMIF(טבלה35[עמודה1],טבלה38[[#This Row],[קוד מוצר]],טבלה35[הזמנה])</f>
        <v>0</v>
      </c>
      <c r="V132" s="655">
        <f>SUMIF(טבלה3338[מק"ט],טבלה38[[#This Row],[קוד מוצר]],טבלה3338[הזמנה])</f>
        <v>0</v>
      </c>
      <c r="W132" s="655">
        <f>SUMIF(טבלה3540[עמודה1],טבלה38[[#This Row],[קוד מוצר]],טבלה3540[הזמנה])</f>
        <v>0</v>
      </c>
      <c r="X132" s="655">
        <f>SUMIF(טבלה3441[עמודה1],טבלה38[[#This Row],[קוד מוצר]],טבלה3441[הזמנה])</f>
        <v>0</v>
      </c>
      <c r="Y132" s="655">
        <f>SUMIF(טבלה24[מקט],טבלה38[[#This Row],[קוד מוצר]],טבלה24[כמות])</f>
        <v>0</v>
      </c>
      <c r="Z132" s="655">
        <f>SUMIF(טבלה628[קוד מוצר],טבלה38[[#This Row],[קוד מוצר]],טבלה628[תוספת])</f>
        <v>0</v>
      </c>
      <c r="AA132" s="610">
        <f>טבלה38[[#This Row],[פימת קפה]]*טבלה38[[#This Row],[מחיר ליח'' כולל ]]</f>
        <v>0</v>
      </c>
      <c r="AB132" s="610">
        <f>טבלה38[[#This Row],[פת שחרית]]*טבלה38[[#This Row],[מחיר ליח'' כולל ]]</f>
        <v>0</v>
      </c>
      <c r="AC132" s="610">
        <f>טבלה38[[#This Row],[א. בוקר פריסה]]*טבלה38[[#This Row],[מחיר ליח'' כולל ]]</f>
        <v>0</v>
      </c>
      <c r="AD132" s="666">
        <f>טבלה38[[#This Row],[א. צהררים פריסה ]]*טבלה38[[#This Row],[מחיר ליח'' כולל ]]</f>
        <v>0</v>
      </c>
      <c r="AE132" s="666">
        <f>טבלה38[[#This Row],[בוקר קיטים]]*טבלה38[[#This Row],[מחיר ליח'' כולל ]]</f>
        <v>0</v>
      </c>
      <c r="AF132" s="666">
        <f>טבלה38[[#This Row],[צהריים קיטים]]*טבלה38[[#This Row],[מחיר ליח'' כולל ]]</f>
        <v>0</v>
      </c>
      <c r="AG132" s="666">
        <f>טבלה38[[#This Row],[פריסת אמצע]]*טבלה38[[#This Row],[מחיר ליח'' כולל ]]</f>
        <v>0</v>
      </c>
      <c r="AH132" s="666">
        <f>טבלה38[[#This Row],[מרק]]*טבלה38[[#This Row],[מחיר ליח'' כולל ]]</f>
        <v>0</v>
      </c>
      <c r="AI132" s="666">
        <f>טבלה38[[#This Row],[ערב בישול 1]]*טבלה38[[#This Row],[מחיר ליח'' כולל ]]</f>
        <v>0</v>
      </c>
      <c r="AJ132" s="666">
        <f>טבלה38[[#This Row],[ערב בישול 2]]*טבלה38[[#This Row],[מחיר ליח'' כולל ]]</f>
        <v>0</v>
      </c>
      <c r="AK132" s="666">
        <f>טבלה38[[#This Row],[ערב בישול 3]]*טבלה38[[#This Row],[מחיר ליח'' כולל ]]</f>
        <v>0</v>
      </c>
      <c r="AL132" s="666">
        <f>טבלה38[[#This Row],[ערב קטן 1]]*טבלה38[[#This Row],[מחיר ליח'' כולל ]]</f>
        <v>0</v>
      </c>
      <c r="AM132" s="666">
        <f>טבלה38[[#This Row],[ערב קטן 2]]*טבלה38[[#This Row],[מחיר ליח'' כולל ]]</f>
        <v>0</v>
      </c>
      <c r="AN132" s="666">
        <f>טבלה38[[#This Row],[ערב קטן 3]]*טבלה38[[#This Row],[מחיר ליח'' כולל ]]</f>
        <v>0</v>
      </c>
      <c r="AO132" s="666">
        <f>טבלה38[[#This Row],[קיטים מיוחדים]]*טבלה38[[#This Row],[מחיר ליח'' כולל ]]</f>
        <v>0</v>
      </c>
      <c r="AP132" s="666">
        <f>טבלה38[[#This Row],[תוספות]]*טבלה38[[#This Row],[מחיר ליח'' כולל ]]</f>
        <v>0</v>
      </c>
    </row>
    <row r="133" spans="2:42" ht="14.4">
      <c r="B133" s="651">
        <v>6266</v>
      </c>
      <c r="C133" s="650" t="s">
        <v>1084</v>
      </c>
      <c r="E133" s="650"/>
      <c r="F133" s="649" t="str">
        <f>IF(טבלה38[[#This Row],[סה"כ]]&gt;0,טבלה38[[#This Row],[סה"כ]],"")</f>
        <v/>
      </c>
      <c r="G133" s="656">
        <v>0.17</v>
      </c>
      <c r="H133" s="655">
        <f>טבלה38[[#This Row],[מחיר]]+טבלה38[[#This Row],[% מע"מ]]*טבלה38[[#This Row],[מחיר]]</f>
        <v>0</v>
      </c>
      <c r="I133" s="630">
        <f>טבלה38[[#This Row],[סה"כ]]*טבלה38[[#This Row],[מחיר ליח'' כולל ]]</f>
        <v>0</v>
      </c>
      <c r="J133" s="655">
        <f>SUM(טבלה38[[#This Row],[פימת קפה]:[תוספות]])</f>
        <v>0</v>
      </c>
      <c r="K133" s="655">
        <f>SUMIF(טבלה11517[מקט],טבלה38[[#This Row],[קוד מוצר]],טבלה11517[כמות])</f>
        <v>0</v>
      </c>
      <c r="L133" s="655">
        <f>SUMIF(טבלה115179[מקט],טבלה38[[#This Row],[קוד מוצר]],טבלה115179[כמות])</f>
        <v>0</v>
      </c>
      <c r="M133" s="655">
        <f>SUMIF(טבלה115[מקט],טבלה38[[#This Row],[קוד מוצר]],טבלה115[כמות])</f>
        <v>0</v>
      </c>
      <c r="N133" s="655">
        <f>SUMIF(טבלה1[מק"ט],טבלה38[[#This Row],[קוד מוצר]],טבלה1[כמות])</f>
        <v>0</v>
      </c>
      <c r="O133" s="655">
        <f>SUMIF(טבלה8[מק"ט],טבלה38[[#This Row],[קוד מוצר]],טבלה8[הזמנה])</f>
        <v>0</v>
      </c>
      <c r="P133" s="655">
        <f>SUMIF(טבלה15[מק"ט],טבלה38[[#This Row],[קוד מוצר]],טבלה15[הזמנה])</f>
        <v>0</v>
      </c>
      <c r="Q133" s="655">
        <f>SUMIF(טבלה1151718[מקט],טבלה38[[#This Row],[קוד מוצר]],טבלה1151718[כמות])</f>
        <v>0</v>
      </c>
      <c r="R133" s="655">
        <f>SUMIF(טבלה125[מקט],טבלה38[[#This Row],[קוד מוצר]],טבלה125[כמות])</f>
        <v>0</v>
      </c>
      <c r="S133" s="655">
        <f>SUMIF(טבלה33[מק"ט],טבלה38[[#This Row],[קוד מוצר]],טבלה33[הזמנה])</f>
        <v>0</v>
      </c>
      <c r="T133" s="655">
        <f>SUMIF(טבלה34[עמודה1],טבלה38[[#This Row],[קוד מוצר]],טבלה34[הזמנה])</f>
        <v>0</v>
      </c>
      <c r="U133" s="655">
        <f>SUMIF(טבלה35[עמודה1],טבלה38[[#This Row],[קוד מוצר]],טבלה35[הזמנה])</f>
        <v>0</v>
      </c>
      <c r="V133" s="655">
        <f>SUMIF(טבלה3338[מק"ט],טבלה38[[#This Row],[קוד מוצר]],טבלה3338[הזמנה])</f>
        <v>0</v>
      </c>
      <c r="W133" s="655">
        <f>SUMIF(טבלה3540[עמודה1],טבלה38[[#This Row],[קוד מוצר]],טבלה3540[הזמנה])</f>
        <v>0</v>
      </c>
      <c r="X133" s="655">
        <f>SUMIF(טבלה3441[עמודה1],טבלה38[[#This Row],[קוד מוצר]],טבלה3441[הזמנה])</f>
        <v>0</v>
      </c>
      <c r="Y133" s="655">
        <f>SUMIF(טבלה24[מקט],טבלה38[[#This Row],[קוד מוצר]],טבלה24[כמות])</f>
        <v>0</v>
      </c>
      <c r="Z133" s="655">
        <f>SUMIF(טבלה628[קוד מוצר],טבלה38[[#This Row],[קוד מוצר]],טבלה628[תוספת])</f>
        <v>0</v>
      </c>
      <c r="AA133" s="610">
        <f>טבלה38[[#This Row],[פימת קפה]]*טבלה38[[#This Row],[מחיר ליח'' כולל ]]</f>
        <v>0</v>
      </c>
      <c r="AB133" s="610">
        <f>טבלה38[[#This Row],[פת שחרית]]*טבלה38[[#This Row],[מחיר ליח'' כולל ]]</f>
        <v>0</v>
      </c>
      <c r="AC133" s="610">
        <f>טבלה38[[#This Row],[א. בוקר פריסה]]*טבלה38[[#This Row],[מחיר ליח'' כולל ]]</f>
        <v>0</v>
      </c>
      <c r="AD133" s="666">
        <f>טבלה38[[#This Row],[א. צהררים פריסה ]]*טבלה38[[#This Row],[מחיר ליח'' כולל ]]</f>
        <v>0</v>
      </c>
      <c r="AE133" s="666">
        <f>טבלה38[[#This Row],[בוקר קיטים]]*טבלה38[[#This Row],[מחיר ליח'' כולל ]]</f>
        <v>0</v>
      </c>
      <c r="AF133" s="666">
        <f>טבלה38[[#This Row],[צהריים קיטים]]*טבלה38[[#This Row],[מחיר ליח'' כולל ]]</f>
        <v>0</v>
      </c>
      <c r="AG133" s="666">
        <f>טבלה38[[#This Row],[פריסת אמצע]]*טבלה38[[#This Row],[מחיר ליח'' כולל ]]</f>
        <v>0</v>
      </c>
      <c r="AH133" s="666">
        <f>טבלה38[[#This Row],[מרק]]*טבלה38[[#This Row],[מחיר ליח'' כולל ]]</f>
        <v>0</v>
      </c>
      <c r="AI133" s="666">
        <f>טבלה38[[#This Row],[ערב בישול 1]]*טבלה38[[#This Row],[מחיר ליח'' כולל ]]</f>
        <v>0</v>
      </c>
      <c r="AJ133" s="666">
        <f>טבלה38[[#This Row],[ערב בישול 2]]*טבלה38[[#This Row],[מחיר ליח'' כולל ]]</f>
        <v>0</v>
      </c>
      <c r="AK133" s="666">
        <f>טבלה38[[#This Row],[ערב בישול 3]]*טבלה38[[#This Row],[מחיר ליח'' כולל ]]</f>
        <v>0</v>
      </c>
      <c r="AL133" s="666">
        <f>טבלה38[[#This Row],[ערב קטן 1]]*טבלה38[[#This Row],[מחיר ליח'' כולל ]]</f>
        <v>0</v>
      </c>
      <c r="AM133" s="666">
        <f>טבלה38[[#This Row],[ערב קטן 2]]*טבלה38[[#This Row],[מחיר ליח'' כולל ]]</f>
        <v>0</v>
      </c>
      <c r="AN133" s="666">
        <f>טבלה38[[#This Row],[ערב קטן 3]]*טבלה38[[#This Row],[מחיר ליח'' כולל ]]</f>
        <v>0</v>
      </c>
      <c r="AO133" s="666">
        <f>טבלה38[[#This Row],[קיטים מיוחדים]]*טבלה38[[#This Row],[מחיר ליח'' כולל ]]</f>
        <v>0</v>
      </c>
      <c r="AP133" s="666">
        <f>טבלה38[[#This Row],[תוספות]]*טבלה38[[#This Row],[מחיר ליח'' כולל ]]</f>
        <v>0</v>
      </c>
    </row>
    <row r="134" spans="2:42" ht="14.4">
      <c r="B134" s="651">
        <v>6408</v>
      </c>
      <c r="C134" s="650" t="s">
        <v>1146</v>
      </c>
      <c r="D134" s="650" t="s">
        <v>602</v>
      </c>
      <c r="E134" s="650"/>
      <c r="F134" s="649" t="str">
        <f>IF(טבלה38[[#This Row],[סה"כ]]&gt;0,טבלה38[[#This Row],[סה"כ]],"")</f>
        <v/>
      </c>
      <c r="G134" s="656">
        <v>0.17</v>
      </c>
      <c r="H134" s="655">
        <f>טבלה38[[#This Row],[מחיר]]+טבלה38[[#This Row],[% מע"מ]]*טבלה38[[#This Row],[מחיר]]</f>
        <v>0</v>
      </c>
      <c r="I134" s="630">
        <f>טבלה38[[#This Row],[סה"כ]]*טבלה38[[#This Row],[מחיר ליח'' כולל ]]</f>
        <v>0</v>
      </c>
      <c r="J134" s="655">
        <f>SUM(טבלה38[[#This Row],[פימת קפה]:[תוספות]])</f>
        <v>0</v>
      </c>
      <c r="K134" s="655">
        <f>SUMIF(טבלה11517[מקט],טבלה38[[#This Row],[קוד מוצר]],טבלה11517[כמות])</f>
        <v>0</v>
      </c>
      <c r="L134" s="655">
        <f>SUMIF(טבלה115179[מקט],טבלה38[[#This Row],[קוד מוצר]],טבלה115179[כמות])</f>
        <v>0</v>
      </c>
      <c r="M134" s="655">
        <f>SUMIF(טבלה115[מקט],טבלה38[[#This Row],[קוד מוצר]],טבלה115[כמות])</f>
        <v>0</v>
      </c>
      <c r="N134" s="655">
        <f>SUMIF(טבלה1[מק"ט],טבלה38[[#This Row],[קוד מוצר]],טבלה1[כמות])</f>
        <v>0</v>
      </c>
      <c r="O134" s="655">
        <f>SUMIF(טבלה8[מק"ט],טבלה38[[#This Row],[קוד מוצר]],טבלה8[הזמנה])</f>
        <v>0</v>
      </c>
      <c r="P134" s="655">
        <f>SUMIF(טבלה15[מק"ט],טבלה38[[#This Row],[קוד מוצר]],טבלה15[הזמנה])</f>
        <v>0</v>
      </c>
      <c r="Q134" s="655">
        <f>SUMIF(טבלה1151718[מקט],טבלה38[[#This Row],[קוד מוצר]],טבלה1151718[כמות])</f>
        <v>0</v>
      </c>
      <c r="R134" s="655">
        <f>SUMIF(טבלה125[מקט],טבלה38[[#This Row],[קוד מוצר]],טבלה125[כמות])</f>
        <v>0</v>
      </c>
      <c r="S134" s="655">
        <f>SUMIF(טבלה33[מק"ט],טבלה38[[#This Row],[קוד מוצר]],טבלה33[הזמנה])</f>
        <v>0</v>
      </c>
      <c r="T134" s="655">
        <f>SUMIF(טבלה34[עמודה1],טבלה38[[#This Row],[קוד מוצר]],טבלה34[הזמנה])</f>
        <v>0</v>
      </c>
      <c r="U134" s="655">
        <f>SUMIF(טבלה35[עמודה1],טבלה38[[#This Row],[קוד מוצר]],טבלה35[הזמנה])</f>
        <v>0</v>
      </c>
      <c r="V134" s="655">
        <f>SUMIF(טבלה3338[מק"ט],טבלה38[[#This Row],[קוד מוצר]],טבלה3338[הזמנה])</f>
        <v>0</v>
      </c>
      <c r="W134" s="655">
        <f>SUMIF(טבלה3540[עמודה1],טבלה38[[#This Row],[קוד מוצר]],טבלה3540[הזמנה])</f>
        <v>0</v>
      </c>
      <c r="X134" s="655">
        <f>SUMIF(טבלה3441[עמודה1],טבלה38[[#This Row],[קוד מוצר]],טבלה3441[הזמנה])</f>
        <v>0</v>
      </c>
      <c r="Y134" s="655">
        <f>SUMIF(טבלה24[מקט],טבלה38[[#This Row],[קוד מוצר]],טבלה24[כמות])</f>
        <v>0</v>
      </c>
      <c r="Z134" s="655">
        <f>SUMIF(טבלה628[קוד מוצר],טבלה38[[#This Row],[קוד מוצר]],טבלה628[תוספת])</f>
        <v>0</v>
      </c>
      <c r="AA134" s="610">
        <f>טבלה38[[#This Row],[פימת קפה]]*טבלה38[[#This Row],[מחיר ליח'' כולל ]]</f>
        <v>0</v>
      </c>
      <c r="AB134" s="610">
        <f>טבלה38[[#This Row],[פת שחרית]]*טבלה38[[#This Row],[מחיר ליח'' כולל ]]</f>
        <v>0</v>
      </c>
      <c r="AC134" s="610">
        <f>טבלה38[[#This Row],[א. בוקר פריסה]]*טבלה38[[#This Row],[מחיר ליח'' כולל ]]</f>
        <v>0</v>
      </c>
      <c r="AD134" s="666">
        <f>טבלה38[[#This Row],[א. צהררים פריסה ]]*טבלה38[[#This Row],[מחיר ליח'' כולל ]]</f>
        <v>0</v>
      </c>
      <c r="AE134" s="666">
        <f>טבלה38[[#This Row],[בוקר קיטים]]*טבלה38[[#This Row],[מחיר ליח'' כולל ]]</f>
        <v>0</v>
      </c>
      <c r="AF134" s="666">
        <f>טבלה38[[#This Row],[צהריים קיטים]]*טבלה38[[#This Row],[מחיר ליח'' כולל ]]</f>
        <v>0</v>
      </c>
      <c r="AG134" s="666">
        <f>טבלה38[[#This Row],[פריסת אמצע]]*טבלה38[[#This Row],[מחיר ליח'' כולל ]]</f>
        <v>0</v>
      </c>
      <c r="AH134" s="666">
        <f>טבלה38[[#This Row],[מרק]]*טבלה38[[#This Row],[מחיר ליח'' כולל ]]</f>
        <v>0</v>
      </c>
      <c r="AI134" s="666">
        <f>טבלה38[[#This Row],[ערב בישול 1]]*טבלה38[[#This Row],[מחיר ליח'' כולל ]]</f>
        <v>0</v>
      </c>
      <c r="AJ134" s="666">
        <f>טבלה38[[#This Row],[ערב בישול 2]]*טבלה38[[#This Row],[מחיר ליח'' כולל ]]</f>
        <v>0</v>
      </c>
      <c r="AK134" s="666">
        <f>טבלה38[[#This Row],[ערב בישול 3]]*טבלה38[[#This Row],[מחיר ליח'' כולל ]]</f>
        <v>0</v>
      </c>
      <c r="AL134" s="666">
        <f>טבלה38[[#This Row],[ערב קטן 1]]*טבלה38[[#This Row],[מחיר ליח'' כולל ]]</f>
        <v>0</v>
      </c>
      <c r="AM134" s="666">
        <f>טבלה38[[#This Row],[ערב קטן 2]]*טבלה38[[#This Row],[מחיר ליח'' כולל ]]</f>
        <v>0</v>
      </c>
      <c r="AN134" s="666">
        <f>טבלה38[[#This Row],[ערב קטן 3]]*טבלה38[[#This Row],[מחיר ליח'' כולל ]]</f>
        <v>0</v>
      </c>
      <c r="AO134" s="666">
        <f>טבלה38[[#This Row],[קיטים מיוחדים]]*טבלה38[[#This Row],[מחיר ליח'' כולל ]]</f>
        <v>0</v>
      </c>
      <c r="AP134" s="666">
        <f>טבלה38[[#This Row],[תוספות]]*טבלה38[[#This Row],[מחיר ליח'' כולל ]]</f>
        <v>0</v>
      </c>
    </row>
    <row r="135" spans="2:42" ht="14.4">
      <c r="B135" s="651">
        <v>6435</v>
      </c>
      <c r="C135" s="650" t="s">
        <v>940</v>
      </c>
      <c r="D135" s="650" t="s">
        <v>602</v>
      </c>
      <c r="E135" s="650"/>
      <c r="F135" s="649" t="str">
        <f>IF(טבלה38[[#This Row],[סה"כ]]&gt;0,טבלה38[[#This Row],[סה"כ]],"")</f>
        <v/>
      </c>
      <c r="G135" s="656">
        <v>0.17</v>
      </c>
      <c r="H135" s="655">
        <f>טבלה38[[#This Row],[מחיר]]+טבלה38[[#This Row],[% מע"מ]]*טבלה38[[#This Row],[מחיר]]</f>
        <v>0</v>
      </c>
      <c r="I135" s="630">
        <f>טבלה38[[#This Row],[סה"כ]]*טבלה38[[#This Row],[מחיר ליח'' כולל ]]</f>
        <v>0</v>
      </c>
      <c r="J135" s="655">
        <f>SUM(טבלה38[[#This Row],[פימת קפה]:[תוספות]])</f>
        <v>0</v>
      </c>
      <c r="K135" s="655">
        <f>SUMIF(טבלה11517[מקט],טבלה38[[#This Row],[קוד מוצר]],טבלה11517[כמות])</f>
        <v>0</v>
      </c>
      <c r="L135" s="655">
        <f>SUMIF(טבלה115179[מקט],טבלה38[[#This Row],[קוד מוצר]],טבלה115179[כמות])</f>
        <v>0</v>
      </c>
      <c r="M135" s="655">
        <f>SUMIF(טבלה115[מקט],טבלה38[[#This Row],[קוד מוצר]],טבלה115[כמות])</f>
        <v>0</v>
      </c>
      <c r="N135" s="655">
        <f>SUMIF(טבלה1[מק"ט],טבלה38[[#This Row],[קוד מוצר]],טבלה1[כמות])</f>
        <v>0</v>
      </c>
      <c r="O135" s="655">
        <f>SUMIF(טבלה8[מק"ט],טבלה38[[#This Row],[קוד מוצר]],טבלה8[הזמנה])</f>
        <v>0</v>
      </c>
      <c r="P135" s="655">
        <f>SUMIF(טבלה15[מק"ט],טבלה38[[#This Row],[קוד מוצר]],טבלה15[הזמנה])</f>
        <v>0</v>
      </c>
      <c r="Q135" s="655">
        <f>SUMIF(טבלה1151718[מקט],טבלה38[[#This Row],[קוד מוצר]],טבלה1151718[כמות])</f>
        <v>0</v>
      </c>
      <c r="R135" s="655">
        <f>SUMIF(טבלה125[מקט],טבלה38[[#This Row],[קוד מוצר]],טבלה125[כמות])</f>
        <v>0</v>
      </c>
      <c r="S135" s="655">
        <f>SUMIF(טבלה33[מק"ט],טבלה38[[#This Row],[קוד מוצר]],טבלה33[הזמנה])</f>
        <v>0</v>
      </c>
      <c r="T135" s="655">
        <f>SUMIF(טבלה34[עמודה1],טבלה38[[#This Row],[קוד מוצר]],טבלה34[הזמנה])</f>
        <v>0</v>
      </c>
      <c r="U135" s="655">
        <f>SUMIF(טבלה35[עמודה1],טבלה38[[#This Row],[קוד מוצר]],טבלה35[הזמנה])</f>
        <v>0</v>
      </c>
      <c r="V135" s="655">
        <f>SUMIF(טבלה3338[מק"ט],טבלה38[[#This Row],[קוד מוצר]],טבלה3338[הזמנה])</f>
        <v>0</v>
      </c>
      <c r="W135" s="655">
        <f>SUMIF(טבלה3540[עמודה1],טבלה38[[#This Row],[קוד מוצר]],טבלה3540[הזמנה])</f>
        <v>0</v>
      </c>
      <c r="X135" s="655">
        <f>SUMIF(טבלה3441[עמודה1],טבלה38[[#This Row],[קוד מוצר]],טבלה3441[הזמנה])</f>
        <v>0</v>
      </c>
      <c r="Y135" s="655">
        <f>SUMIF(טבלה24[מקט],טבלה38[[#This Row],[קוד מוצר]],טבלה24[כמות])</f>
        <v>0</v>
      </c>
      <c r="Z135" s="655">
        <f>SUMIF(טבלה628[קוד מוצר],טבלה38[[#This Row],[קוד מוצר]],טבלה628[תוספת])</f>
        <v>0</v>
      </c>
      <c r="AA135" s="610">
        <f>טבלה38[[#This Row],[פימת קפה]]*טבלה38[[#This Row],[מחיר ליח'' כולל ]]</f>
        <v>0</v>
      </c>
      <c r="AB135" s="610">
        <f>טבלה38[[#This Row],[פת שחרית]]*טבלה38[[#This Row],[מחיר ליח'' כולל ]]</f>
        <v>0</v>
      </c>
      <c r="AC135" s="610">
        <f>טבלה38[[#This Row],[א. בוקר פריסה]]*טבלה38[[#This Row],[מחיר ליח'' כולל ]]</f>
        <v>0</v>
      </c>
      <c r="AD135" s="666">
        <f>טבלה38[[#This Row],[א. צהררים פריסה ]]*טבלה38[[#This Row],[מחיר ליח'' כולל ]]</f>
        <v>0</v>
      </c>
      <c r="AE135" s="666">
        <f>טבלה38[[#This Row],[בוקר קיטים]]*טבלה38[[#This Row],[מחיר ליח'' כולל ]]</f>
        <v>0</v>
      </c>
      <c r="AF135" s="666">
        <f>טבלה38[[#This Row],[צהריים קיטים]]*טבלה38[[#This Row],[מחיר ליח'' כולל ]]</f>
        <v>0</v>
      </c>
      <c r="AG135" s="666">
        <f>טבלה38[[#This Row],[פריסת אמצע]]*טבלה38[[#This Row],[מחיר ליח'' כולל ]]</f>
        <v>0</v>
      </c>
      <c r="AH135" s="666">
        <f>טבלה38[[#This Row],[מרק]]*טבלה38[[#This Row],[מחיר ליח'' כולל ]]</f>
        <v>0</v>
      </c>
      <c r="AI135" s="666">
        <f>טבלה38[[#This Row],[ערב בישול 1]]*טבלה38[[#This Row],[מחיר ליח'' כולל ]]</f>
        <v>0</v>
      </c>
      <c r="AJ135" s="666">
        <f>טבלה38[[#This Row],[ערב בישול 2]]*טבלה38[[#This Row],[מחיר ליח'' כולל ]]</f>
        <v>0</v>
      </c>
      <c r="AK135" s="666">
        <f>טבלה38[[#This Row],[ערב בישול 3]]*טבלה38[[#This Row],[מחיר ליח'' כולל ]]</f>
        <v>0</v>
      </c>
      <c r="AL135" s="666">
        <f>טבלה38[[#This Row],[ערב קטן 1]]*טבלה38[[#This Row],[מחיר ליח'' כולל ]]</f>
        <v>0</v>
      </c>
      <c r="AM135" s="666">
        <f>טבלה38[[#This Row],[ערב קטן 2]]*טבלה38[[#This Row],[מחיר ליח'' כולל ]]</f>
        <v>0</v>
      </c>
      <c r="AN135" s="666">
        <f>טבלה38[[#This Row],[ערב קטן 3]]*טבלה38[[#This Row],[מחיר ליח'' כולל ]]</f>
        <v>0</v>
      </c>
      <c r="AO135" s="666">
        <f>טבלה38[[#This Row],[קיטים מיוחדים]]*טבלה38[[#This Row],[מחיר ליח'' כולל ]]</f>
        <v>0</v>
      </c>
      <c r="AP135" s="666">
        <f>טבלה38[[#This Row],[תוספות]]*טבלה38[[#This Row],[מחיר ליח'' כולל ]]</f>
        <v>0</v>
      </c>
    </row>
    <row r="136" spans="2:42" ht="14.4">
      <c r="B136" s="651">
        <v>6535</v>
      </c>
      <c r="C136" s="650" t="s">
        <v>1050</v>
      </c>
      <c r="D136" s="650" t="s">
        <v>602</v>
      </c>
      <c r="E136" s="650"/>
      <c r="F136" s="649" t="str">
        <f>IF(טבלה38[[#This Row],[סה"כ]]&gt;0,טבלה38[[#This Row],[סה"כ]],"")</f>
        <v/>
      </c>
      <c r="G136" s="656">
        <v>0.17</v>
      </c>
      <c r="H136" s="655">
        <f>טבלה38[[#This Row],[מחיר]]+טבלה38[[#This Row],[% מע"מ]]*טבלה38[[#This Row],[מחיר]]</f>
        <v>0</v>
      </c>
      <c r="I136" s="630">
        <f>טבלה38[[#This Row],[סה"כ]]*טבלה38[[#This Row],[מחיר ליח'' כולל ]]</f>
        <v>0</v>
      </c>
      <c r="J136" s="655">
        <f>SUM(טבלה38[[#This Row],[פימת קפה]:[תוספות]])</f>
        <v>0</v>
      </c>
      <c r="K136" s="655">
        <f>SUMIF(טבלה11517[מקט],טבלה38[[#This Row],[קוד מוצר]],טבלה11517[כמות])</f>
        <v>0</v>
      </c>
      <c r="L136" s="655">
        <f>SUMIF(טבלה115179[מקט],טבלה38[[#This Row],[קוד מוצר]],טבלה115179[כמות])</f>
        <v>0</v>
      </c>
      <c r="M136" s="655">
        <f>SUMIF(טבלה115[מקט],טבלה38[[#This Row],[קוד מוצר]],טבלה115[כמות])</f>
        <v>0</v>
      </c>
      <c r="N136" s="655">
        <f>SUMIF(טבלה1[מק"ט],טבלה38[[#This Row],[קוד מוצר]],טבלה1[כמות])</f>
        <v>0</v>
      </c>
      <c r="O136" s="655">
        <f>SUMIF(טבלה8[מק"ט],טבלה38[[#This Row],[קוד מוצר]],טבלה8[הזמנה])</f>
        <v>0</v>
      </c>
      <c r="P136" s="655">
        <f>SUMIF(טבלה15[מק"ט],טבלה38[[#This Row],[קוד מוצר]],טבלה15[הזמנה])</f>
        <v>0</v>
      </c>
      <c r="Q136" s="655">
        <f>SUMIF(טבלה1151718[מקט],טבלה38[[#This Row],[קוד מוצר]],טבלה1151718[כמות])</f>
        <v>0</v>
      </c>
      <c r="R136" s="655">
        <f>SUMIF(טבלה125[מקט],טבלה38[[#This Row],[קוד מוצר]],טבלה125[כמות])</f>
        <v>0</v>
      </c>
      <c r="S136" s="655">
        <f>SUMIF(טבלה33[מק"ט],טבלה38[[#This Row],[קוד מוצר]],טבלה33[הזמנה])</f>
        <v>0</v>
      </c>
      <c r="T136" s="655">
        <f>SUMIF(טבלה34[עמודה1],טבלה38[[#This Row],[קוד מוצר]],טבלה34[הזמנה])</f>
        <v>0</v>
      </c>
      <c r="U136" s="655">
        <f>SUMIF(טבלה35[עמודה1],טבלה38[[#This Row],[קוד מוצר]],טבלה35[הזמנה])</f>
        <v>0</v>
      </c>
      <c r="V136" s="655">
        <f>SUMIF(טבלה3338[מק"ט],טבלה38[[#This Row],[קוד מוצר]],טבלה3338[הזמנה])</f>
        <v>0</v>
      </c>
      <c r="W136" s="655">
        <f>SUMIF(טבלה3540[עמודה1],טבלה38[[#This Row],[קוד מוצר]],טבלה3540[הזמנה])</f>
        <v>0</v>
      </c>
      <c r="X136" s="655">
        <f>SUMIF(טבלה3441[עמודה1],טבלה38[[#This Row],[קוד מוצר]],טבלה3441[הזמנה])</f>
        <v>0</v>
      </c>
      <c r="Y136" s="655">
        <f>SUMIF(טבלה24[מקט],טבלה38[[#This Row],[קוד מוצר]],טבלה24[כמות])</f>
        <v>0</v>
      </c>
      <c r="Z136" s="655">
        <f>SUMIF(טבלה628[קוד מוצר],טבלה38[[#This Row],[קוד מוצר]],טבלה628[תוספת])</f>
        <v>0</v>
      </c>
      <c r="AA136" s="610">
        <f>טבלה38[[#This Row],[פימת קפה]]*טבלה38[[#This Row],[מחיר ליח'' כולל ]]</f>
        <v>0</v>
      </c>
      <c r="AB136" s="610">
        <f>טבלה38[[#This Row],[פת שחרית]]*טבלה38[[#This Row],[מחיר ליח'' כולל ]]</f>
        <v>0</v>
      </c>
      <c r="AC136" s="610">
        <f>טבלה38[[#This Row],[א. בוקר פריסה]]*טבלה38[[#This Row],[מחיר ליח'' כולל ]]</f>
        <v>0</v>
      </c>
      <c r="AD136" s="666">
        <f>טבלה38[[#This Row],[א. צהררים פריסה ]]*טבלה38[[#This Row],[מחיר ליח'' כולל ]]</f>
        <v>0</v>
      </c>
      <c r="AE136" s="666">
        <f>טבלה38[[#This Row],[בוקר קיטים]]*טבלה38[[#This Row],[מחיר ליח'' כולל ]]</f>
        <v>0</v>
      </c>
      <c r="AF136" s="666">
        <f>טבלה38[[#This Row],[צהריים קיטים]]*טבלה38[[#This Row],[מחיר ליח'' כולל ]]</f>
        <v>0</v>
      </c>
      <c r="AG136" s="666">
        <f>טבלה38[[#This Row],[פריסת אמצע]]*טבלה38[[#This Row],[מחיר ליח'' כולל ]]</f>
        <v>0</v>
      </c>
      <c r="AH136" s="666">
        <f>טבלה38[[#This Row],[מרק]]*טבלה38[[#This Row],[מחיר ליח'' כולל ]]</f>
        <v>0</v>
      </c>
      <c r="AI136" s="666">
        <f>טבלה38[[#This Row],[ערב בישול 1]]*טבלה38[[#This Row],[מחיר ליח'' כולל ]]</f>
        <v>0</v>
      </c>
      <c r="AJ136" s="666">
        <f>טבלה38[[#This Row],[ערב בישול 2]]*טבלה38[[#This Row],[מחיר ליח'' כולל ]]</f>
        <v>0</v>
      </c>
      <c r="AK136" s="666">
        <f>טבלה38[[#This Row],[ערב בישול 3]]*טבלה38[[#This Row],[מחיר ליח'' כולל ]]</f>
        <v>0</v>
      </c>
      <c r="AL136" s="666">
        <f>טבלה38[[#This Row],[ערב קטן 1]]*טבלה38[[#This Row],[מחיר ליח'' כולל ]]</f>
        <v>0</v>
      </c>
      <c r="AM136" s="666">
        <f>טבלה38[[#This Row],[ערב קטן 2]]*טבלה38[[#This Row],[מחיר ליח'' כולל ]]</f>
        <v>0</v>
      </c>
      <c r="AN136" s="666">
        <f>טבלה38[[#This Row],[ערב קטן 3]]*טבלה38[[#This Row],[מחיר ליח'' כולל ]]</f>
        <v>0</v>
      </c>
      <c r="AO136" s="666">
        <f>טבלה38[[#This Row],[קיטים מיוחדים]]*טבלה38[[#This Row],[מחיר ליח'' כולל ]]</f>
        <v>0</v>
      </c>
      <c r="AP136" s="666">
        <f>טבלה38[[#This Row],[תוספות]]*טבלה38[[#This Row],[מחיר ליח'' כולל ]]</f>
        <v>0</v>
      </c>
    </row>
    <row r="137" spans="2:42" ht="14.4">
      <c r="B137" s="651">
        <v>6585</v>
      </c>
      <c r="C137" s="650" t="s">
        <v>1162</v>
      </c>
      <c r="E137" s="650"/>
      <c r="F137" s="649" t="str">
        <f>IF(טבלה38[[#This Row],[סה"כ]]&gt;0,טבלה38[[#This Row],[סה"כ]],"")</f>
        <v/>
      </c>
      <c r="G137" s="656">
        <v>0.17</v>
      </c>
      <c r="H137" s="655">
        <f>טבלה38[[#This Row],[מחיר]]+טבלה38[[#This Row],[% מע"מ]]*טבלה38[[#This Row],[מחיר]]</f>
        <v>0</v>
      </c>
      <c r="I137" s="630">
        <f>טבלה38[[#This Row],[סה"כ]]*טבלה38[[#This Row],[מחיר ליח'' כולל ]]</f>
        <v>0</v>
      </c>
      <c r="J137" s="655">
        <f>SUM(טבלה38[[#This Row],[פימת קפה]:[תוספות]])</f>
        <v>0</v>
      </c>
      <c r="K137" s="655">
        <f>SUMIF(טבלה11517[מקט],טבלה38[[#This Row],[קוד מוצר]],טבלה11517[כמות])</f>
        <v>0</v>
      </c>
      <c r="L137" s="655">
        <f>SUMIF(טבלה115179[מקט],טבלה38[[#This Row],[קוד מוצר]],טבלה115179[כמות])</f>
        <v>0</v>
      </c>
      <c r="M137" s="655">
        <f>SUMIF(טבלה115[מקט],טבלה38[[#This Row],[קוד מוצר]],טבלה115[כמות])</f>
        <v>0</v>
      </c>
      <c r="N137" s="655">
        <f>SUMIF(טבלה1[מק"ט],טבלה38[[#This Row],[קוד מוצר]],טבלה1[כמות])</f>
        <v>0</v>
      </c>
      <c r="O137" s="655">
        <f>SUMIF(טבלה8[מק"ט],טבלה38[[#This Row],[קוד מוצר]],טבלה8[הזמנה])</f>
        <v>0</v>
      </c>
      <c r="P137" s="655">
        <f>SUMIF(טבלה15[מק"ט],טבלה38[[#This Row],[קוד מוצר]],טבלה15[הזמנה])</f>
        <v>0</v>
      </c>
      <c r="Q137" s="655">
        <f>SUMIF(טבלה1151718[מקט],טבלה38[[#This Row],[קוד מוצר]],טבלה1151718[כמות])</f>
        <v>0</v>
      </c>
      <c r="R137" s="655">
        <f>SUMIF(טבלה125[מקט],טבלה38[[#This Row],[קוד מוצר]],טבלה125[כמות])</f>
        <v>0</v>
      </c>
      <c r="S137" s="655">
        <f>SUMIF(טבלה33[מק"ט],טבלה38[[#This Row],[קוד מוצר]],טבלה33[הזמנה])</f>
        <v>0</v>
      </c>
      <c r="T137" s="655">
        <f>SUMIF(טבלה34[עמודה1],טבלה38[[#This Row],[קוד מוצר]],טבלה34[הזמנה])</f>
        <v>0</v>
      </c>
      <c r="U137" s="655">
        <f>SUMIF(טבלה35[עמודה1],טבלה38[[#This Row],[קוד מוצר]],טבלה35[הזמנה])</f>
        <v>0</v>
      </c>
      <c r="V137" s="655">
        <f>SUMIF(טבלה3338[מק"ט],טבלה38[[#This Row],[קוד מוצר]],טבלה3338[הזמנה])</f>
        <v>0</v>
      </c>
      <c r="W137" s="655">
        <f>SUMIF(טבלה3540[עמודה1],טבלה38[[#This Row],[קוד מוצר]],טבלה3540[הזמנה])</f>
        <v>0</v>
      </c>
      <c r="X137" s="655">
        <f>SUMIF(טבלה3441[עמודה1],טבלה38[[#This Row],[קוד מוצר]],טבלה3441[הזמנה])</f>
        <v>0</v>
      </c>
      <c r="Y137" s="655">
        <f>SUMIF(טבלה24[מקט],טבלה38[[#This Row],[קוד מוצר]],טבלה24[כמות])</f>
        <v>0</v>
      </c>
      <c r="Z137" s="655">
        <f>SUMIF(טבלה628[קוד מוצר],טבלה38[[#This Row],[קוד מוצר]],טבלה628[תוספת])</f>
        <v>0</v>
      </c>
      <c r="AA137" s="610">
        <f>טבלה38[[#This Row],[פימת קפה]]*טבלה38[[#This Row],[מחיר ליח'' כולל ]]</f>
        <v>0</v>
      </c>
      <c r="AB137" s="610">
        <f>טבלה38[[#This Row],[פת שחרית]]*טבלה38[[#This Row],[מחיר ליח'' כולל ]]</f>
        <v>0</v>
      </c>
      <c r="AC137" s="610">
        <f>טבלה38[[#This Row],[א. בוקר פריסה]]*טבלה38[[#This Row],[מחיר ליח'' כולל ]]</f>
        <v>0</v>
      </c>
      <c r="AD137" s="666">
        <f>טבלה38[[#This Row],[א. צהררים פריסה ]]*טבלה38[[#This Row],[מחיר ליח'' כולל ]]</f>
        <v>0</v>
      </c>
      <c r="AE137" s="666">
        <f>טבלה38[[#This Row],[בוקר קיטים]]*טבלה38[[#This Row],[מחיר ליח'' כולל ]]</f>
        <v>0</v>
      </c>
      <c r="AF137" s="666">
        <f>טבלה38[[#This Row],[צהריים קיטים]]*טבלה38[[#This Row],[מחיר ליח'' כולל ]]</f>
        <v>0</v>
      </c>
      <c r="AG137" s="666">
        <f>טבלה38[[#This Row],[פריסת אמצע]]*טבלה38[[#This Row],[מחיר ליח'' כולל ]]</f>
        <v>0</v>
      </c>
      <c r="AH137" s="666">
        <f>טבלה38[[#This Row],[מרק]]*טבלה38[[#This Row],[מחיר ליח'' כולל ]]</f>
        <v>0</v>
      </c>
      <c r="AI137" s="666">
        <f>טבלה38[[#This Row],[ערב בישול 1]]*טבלה38[[#This Row],[מחיר ליח'' כולל ]]</f>
        <v>0</v>
      </c>
      <c r="AJ137" s="666">
        <f>טבלה38[[#This Row],[ערב בישול 2]]*טבלה38[[#This Row],[מחיר ליח'' כולל ]]</f>
        <v>0</v>
      </c>
      <c r="AK137" s="666">
        <f>טבלה38[[#This Row],[ערב בישול 3]]*טבלה38[[#This Row],[מחיר ליח'' כולל ]]</f>
        <v>0</v>
      </c>
      <c r="AL137" s="666">
        <f>טבלה38[[#This Row],[ערב קטן 1]]*טבלה38[[#This Row],[מחיר ליח'' כולל ]]</f>
        <v>0</v>
      </c>
      <c r="AM137" s="666">
        <f>טבלה38[[#This Row],[ערב קטן 2]]*טבלה38[[#This Row],[מחיר ליח'' כולל ]]</f>
        <v>0</v>
      </c>
      <c r="AN137" s="666">
        <f>טבלה38[[#This Row],[ערב קטן 3]]*טבלה38[[#This Row],[מחיר ליח'' כולל ]]</f>
        <v>0</v>
      </c>
      <c r="AO137" s="666">
        <f>טבלה38[[#This Row],[קיטים מיוחדים]]*טבלה38[[#This Row],[מחיר ליח'' כולל ]]</f>
        <v>0</v>
      </c>
      <c r="AP137" s="666">
        <f>טבלה38[[#This Row],[תוספות]]*טבלה38[[#This Row],[מחיר ליח'' כולל ]]</f>
        <v>0</v>
      </c>
    </row>
    <row r="138" spans="2:42" ht="14.4">
      <c r="B138" s="651">
        <v>6607</v>
      </c>
      <c r="C138" s="650" t="s">
        <v>1058</v>
      </c>
      <c r="D138" s="650" t="s">
        <v>602</v>
      </c>
      <c r="E138" s="650"/>
      <c r="F138" s="649" t="str">
        <f>IF(טבלה38[[#This Row],[סה"כ]]&gt;0,טבלה38[[#This Row],[סה"כ]],"")</f>
        <v/>
      </c>
      <c r="G138" s="656">
        <v>0.17</v>
      </c>
      <c r="H138" s="655">
        <f>טבלה38[[#This Row],[מחיר]]+טבלה38[[#This Row],[% מע"מ]]*טבלה38[[#This Row],[מחיר]]</f>
        <v>0</v>
      </c>
      <c r="I138" s="630">
        <f>טבלה38[[#This Row],[סה"כ]]*טבלה38[[#This Row],[מחיר ליח'' כולל ]]</f>
        <v>0</v>
      </c>
      <c r="J138" s="655">
        <f>SUM(טבלה38[[#This Row],[פימת קפה]:[תוספות]])</f>
        <v>0</v>
      </c>
      <c r="K138" s="655">
        <f>SUMIF(טבלה11517[מקט],טבלה38[[#This Row],[קוד מוצר]],טבלה11517[כמות])</f>
        <v>0</v>
      </c>
      <c r="L138" s="655">
        <f>SUMIF(טבלה115179[מקט],טבלה38[[#This Row],[קוד מוצר]],טבלה115179[כמות])</f>
        <v>0</v>
      </c>
      <c r="M138" s="655">
        <f>SUMIF(טבלה115[מקט],טבלה38[[#This Row],[קוד מוצר]],טבלה115[כמות])</f>
        <v>0</v>
      </c>
      <c r="N138" s="655">
        <f>SUMIF(טבלה1[מק"ט],טבלה38[[#This Row],[קוד מוצר]],טבלה1[כמות])</f>
        <v>0</v>
      </c>
      <c r="O138" s="655">
        <f>SUMIF(טבלה8[מק"ט],טבלה38[[#This Row],[קוד מוצר]],טבלה8[הזמנה])</f>
        <v>0</v>
      </c>
      <c r="P138" s="655">
        <f>SUMIF(טבלה15[מק"ט],טבלה38[[#This Row],[קוד מוצר]],טבלה15[הזמנה])</f>
        <v>0</v>
      </c>
      <c r="Q138" s="655">
        <f>SUMIF(טבלה1151718[מקט],טבלה38[[#This Row],[קוד מוצר]],טבלה1151718[כמות])</f>
        <v>0</v>
      </c>
      <c r="R138" s="655">
        <f>SUMIF(טבלה125[מקט],טבלה38[[#This Row],[קוד מוצר]],טבלה125[כמות])</f>
        <v>0</v>
      </c>
      <c r="S138" s="655">
        <f>SUMIF(טבלה33[מק"ט],טבלה38[[#This Row],[קוד מוצר]],טבלה33[הזמנה])</f>
        <v>0</v>
      </c>
      <c r="T138" s="655">
        <f>SUMIF(טבלה34[עמודה1],טבלה38[[#This Row],[קוד מוצר]],טבלה34[הזמנה])</f>
        <v>0</v>
      </c>
      <c r="U138" s="655">
        <f>SUMIF(טבלה35[עמודה1],טבלה38[[#This Row],[קוד מוצר]],טבלה35[הזמנה])</f>
        <v>0</v>
      </c>
      <c r="V138" s="655">
        <f>SUMIF(טבלה3338[מק"ט],טבלה38[[#This Row],[קוד מוצר]],טבלה3338[הזמנה])</f>
        <v>0</v>
      </c>
      <c r="W138" s="655">
        <f>SUMIF(טבלה3540[עמודה1],טבלה38[[#This Row],[קוד מוצר]],טבלה3540[הזמנה])</f>
        <v>0</v>
      </c>
      <c r="X138" s="655">
        <f>SUMIF(טבלה3441[עמודה1],טבלה38[[#This Row],[קוד מוצר]],טבלה3441[הזמנה])</f>
        <v>0</v>
      </c>
      <c r="Y138" s="655">
        <f>SUMIF(טבלה24[מקט],טבלה38[[#This Row],[קוד מוצר]],טבלה24[כמות])</f>
        <v>0</v>
      </c>
      <c r="Z138" s="655">
        <f>SUMIF(טבלה628[קוד מוצר],טבלה38[[#This Row],[קוד מוצר]],טבלה628[תוספת])</f>
        <v>0</v>
      </c>
      <c r="AA138" s="610">
        <f>טבלה38[[#This Row],[פימת קפה]]*טבלה38[[#This Row],[מחיר ליח'' כולל ]]</f>
        <v>0</v>
      </c>
      <c r="AB138" s="610">
        <f>טבלה38[[#This Row],[פת שחרית]]*טבלה38[[#This Row],[מחיר ליח'' כולל ]]</f>
        <v>0</v>
      </c>
      <c r="AC138" s="610">
        <f>טבלה38[[#This Row],[א. בוקר פריסה]]*טבלה38[[#This Row],[מחיר ליח'' כולל ]]</f>
        <v>0</v>
      </c>
      <c r="AD138" s="666">
        <f>טבלה38[[#This Row],[א. צהררים פריסה ]]*טבלה38[[#This Row],[מחיר ליח'' כולל ]]</f>
        <v>0</v>
      </c>
      <c r="AE138" s="666">
        <f>טבלה38[[#This Row],[בוקר קיטים]]*טבלה38[[#This Row],[מחיר ליח'' כולל ]]</f>
        <v>0</v>
      </c>
      <c r="AF138" s="666">
        <f>טבלה38[[#This Row],[צהריים קיטים]]*טבלה38[[#This Row],[מחיר ליח'' כולל ]]</f>
        <v>0</v>
      </c>
      <c r="AG138" s="666">
        <f>טבלה38[[#This Row],[פריסת אמצע]]*טבלה38[[#This Row],[מחיר ליח'' כולל ]]</f>
        <v>0</v>
      </c>
      <c r="AH138" s="666">
        <f>טבלה38[[#This Row],[מרק]]*טבלה38[[#This Row],[מחיר ליח'' כולל ]]</f>
        <v>0</v>
      </c>
      <c r="AI138" s="666">
        <f>טבלה38[[#This Row],[ערב בישול 1]]*טבלה38[[#This Row],[מחיר ליח'' כולל ]]</f>
        <v>0</v>
      </c>
      <c r="AJ138" s="666">
        <f>טבלה38[[#This Row],[ערב בישול 2]]*טבלה38[[#This Row],[מחיר ליח'' כולל ]]</f>
        <v>0</v>
      </c>
      <c r="AK138" s="666">
        <f>טבלה38[[#This Row],[ערב בישול 3]]*טבלה38[[#This Row],[מחיר ליח'' כולל ]]</f>
        <v>0</v>
      </c>
      <c r="AL138" s="666">
        <f>טבלה38[[#This Row],[ערב קטן 1]]*טבלה38[[#This Row],[מחיר ליח'' כולל ]]</f>
        <v>0</v>
      </c>
      <c r="AM138" s="666">
        <f>טבלה38[[#This Row],[ערב קטן 2]]*טבלה38[[#This Row],[מחיר ליח'' כולל ]]</f>
        <v>0</v>
      </c>
      <c r="AN138" s="666">
        <f>טבלה38[[#This Row],[ערב קטן 3]]*טבלה38[[#This Row],[מחיר ליח'' כולל ]]</f>
        <v>0</v>
      </c>
      <c r="AO138" s="666">
        <f>טבלה38[[#This Row],[קיטים מיוחדים]]*טבלה38[[#This Row],[מחיר ליח'' כולל ]]</f>
        <v>0</v>
      </c>
      <c r="AP138" s="666">
        <f>טבלה38[[#This Row],[תוספות]]*טבלה38[[#This Row],[מחיר ליח'' כולל ]]</f>
        <v>0</v>
      </c>
    </row>
    <row r="139" spans="2:42" ht="14.4">
      <c r="B139" s="651">
        <v>6609</v>
      </c>
      <c r="C139" s="650" t="s">
        <v>944</v>
      </c>
      <c r="D139" s="650" t="s">
        <v>602</v>
      </c>
      <c r="E139" s="650"/>
      <c r="F139" s="649" t="str">
        <f>IF(טבלה38[[#This Row],[סה"כ]]&gt;0,טבלה38[[#This Row],[סה"כ]],"")</f>
        <v/>
      </c>
      <c r="G139" s="656">
        <v>0.17</v>
      </c>
      <c r="H139" s="655">
        <f>טבלה38[[#This Row],[מחיר]]+טבלה38[[#This Row],[% מע"מ]]*טבלה38[[#This Row],[מחיר]]</f>
        <v>0</v>
      </c>
      <c r="I139" s="630">
        <f>טבלה38[[#This Row],[סה"כ]]*טבלה38[[#This Row],[מחיר ליח'' כולל ]]</f>
        <v>0</v>
      </c>
      <c r="J139" s="655">
        <f>SUM(טבלה38[[#This Row],[פימת קפה]:[תוספות]])</f>
        <v>0</v>
      </c>
      <c r="K139" s="655">
        <f>SUMIF(טבלה11517[מקט],טבלה38[[#This Row],[קוד מוצר]],טבלה11517[כמות])</f>
        <v>0</v>
      </c>
      <c r="L139" s="655">
        <f>SUMIF(טבלה115179[מקט],טבלה38[[#This Row],[קוד מוצר]],טבלה115179[כמות])</f>
        <v>0</v>
      </c>
      <c r="M139" s="655">
        <f>SUMIF(טבלה115[מקט],טבלה38[[#This Row],[קוד מוצר]],טבלה115[כמות])</f>
        <v>0</v>
      </c>
      <c r="N139" s="655">
        <f>SUMIF(טבלה1[מק"ט],טבלה38[[#This Row],[קוד מוצר]],טבלה1[כמות])</f>
        <v>0</v>
      </c>
      <c r="O139" s="655">
        <f>SUMIF(טבלה8[מק"ט],טבלה38[[#This Row],[קוד מוצר]],טבלה8[הזמנה])</f>
        <v>0</v>
      </c>
      <c r="P139" s="655">
        <f>SUMIF(טבלה15[מק"ט],טבלה38[[#This Row],[קוד מוצר]],טבלה15[הזמנה])</f>
        <v>0</v>
      </c>
      <c r="Q139" s="655">
        <f>SUMIF(טבלה1151718[מקט],טבלה38[[#This Row],[קוד מוצר]],טבלה1151718[כמות])</f>
        <v>0</v>
      </c>
      <c r="R139" s="655">
        <f>SUMIF(טבלה125[מקט],טבלה38[[#This Row],[קוד מוצר]],טבלה125[כמות])</f>
        <v>0</v>
      </c>
      <c r="S139" s="655">
        <f>SUMIF(טבלה33[מק"ט],טבלה38[[#This Row],[קוד מוצר]],טבלה33[הזמנה])</f>
        <v>0</v>
      </c>
      <c r="T139" s="655">
        <f>SUMIF(טבלה34[עמודה1],טבלה38[[#This Row],[קוד מוצר]],טבלה34[הזמנה])</f>
        <v>0</v>
      </c>
      <c r="U139" s="655">
        <f>SUMIF(טבלה35[עמודה1],טבלה38[[#This Row],[קוד מוצר]],טבלה35[הזמנה])</f>
        <v>0</v>
      </c>
      <c r="V139" s="655">
        <f>SUMIF(טבלה3338[מק"ט],טבלה38[[#This Row],[קוד מוצר]],טבלה3338[הזמנה])</f>
        <v>0</v>
      </c>
      <c r="W139" s="655">
        <f>SUMIF(טבלה3540[עמודה1],טבלה38[[#This Row],[קוד מוצר]],טבלה3540[הזמנה])</f>
        <v>0</v>
      </c>
      <c r="X139" s="655">
        <f>SUMIF(טבלה3441[עמודה1],טבלה38[[#This Row],[קוד מוצר]],טבלה3441[הזמנה])</f>
        <v>0</v>
      </c>
      <c r="Y139" s="655">
        <f>SUMIF(טבלה24[מקט],טבלה38[[#This Row],[קוד מוצר]],טבלה24[כמות])</f>
        <v>0</v>
      </c>
      <c r="Z139" s="655">
        <f>SUMIF(טבלה628[קוד מוצר],טבלה38[[#This Row],[קוד מוצר]],טבלה628[תוספת])</f>
        <v>0</v>
      </c>
      <c r="AA139" s="610">
        <f>טבלה38[[#This Row],[פימת קפה]]*טבלה38[[#This Row],[מחיר ליח'' כולל ]]</f>
        <v>0</v>
      </c>
      <c r="AB139" s="610">
        <f>טבלה38[[#This Row],[פת שחרית]]*טבלה38[[#This Row],[מחיר ליח'' כולל ]]</f>
        <v>0</v>
      </c>
      <c r="AC139" s="610">
        <f>טבלה38[[#This Row],[א. בוקר פריסה]]*טבלה38[[#This Row],[מחיר ליח'' כולל ]]</f>
        <v>0</v>
      </c>
      <c r="AD139" s="666">
        <f>טבלה38[[#This Row],[א. צהררים פריסה ]]*טבלה38[[#This Row],[מחיר ליח'' כולל ]]</f>
        <v>0</v>
      </c>
      <c r="AE139" s="666">
        <f>טבלה38[[#This Row],[בוקר קיטים]]*טבלה38[[#This Row],[מחיר ליח'' כולל ]]</f>
        <v>0</v>
      </c>
      <c r="AF139" s="666">
        <f>טבלה38[[#This Row],[צהריים קיטים]]*טבלה38[[#This Row],[מחיר ליח'' כולל ]]</f>
        <v>0</v>
      </c>
      <c r="AG139" s="666">
        <f>טבלה38[[#This Row],[פריסת אמצע]]*טבלה38[[#This Row],[מחיר ליח'' כולל ]]</f>
        <v>0</v>
      </c>
      <c r="AH139" s="666">
        <f>טבלה38[[#This Row],[מרק]]*טבלה38[[#This Row],[מחיר ליח'' כולל ]]</f>
        <v>0</v>
      </c>
      <c r="AI139" s="666">
        <f>טבלה38[[#This Row],[ערב בישול 1]]*טבלה38[[#This Row],[מחיר ליח'' כולל ]]</f>
        <v>0</v>
      </c>
      <c r="AJ139" s="666">
        <f>טבלה38[[#This Row],[ערב בישול 2]]*טבלה38[[#This Row],[מחיר ליח'' כולל ]]</f>
        <v>0</v>
      </c>
      <c r="AK139" s="666">
        <f>טבלה38[[#This Row],[ערב בישול 3]]*טבלה38[[#This Row],[מחיר ליח'' כולל ]]</f>
        <v>0</v>
      </c>
      <c r="AL139" s="666">
        <f>טבלה38[[#This Row],[ערב קטן 1]]*טבלה38[[#This Row],[מחיר ליח'' כולל ]]</f>
        <v>0</v>
      </c>
      <c r="AM139" s="666">
        <f>טבלה38[[#This Row],[ערב קטן 2]]*טבלה38[[#This Row],[מחיר ליח'' כולל ]]</f>
        <v>0</v>
      </c>
      <c r="AN139" s="666">
        <f>טבלה38[[#This Row],[ערב קטן 3]]*טבלה38[[#This Row],[מחיר ליח'' כולל ]]</f>
        <v>0</v>
      </c>
      <c r="AO139" s="666">
        <f>טבלה38[[#This Row],[קיטים מיוחדים]]*טבלה38[[#This Row],[מחיר ליח'' כולל ]]</f>
        <v>0</v>
      </c>
      <c r="AP139" s="666">
        <f>טבלה38[[#This Row],[תוספות]]*טבלה38[[#This Row],[מחיר ליח'' כולל ]]</f>
        <v>0</v>
      </c>
    </row>
    <row r="140" spans="2:42" ht="14.4">
      <c r="B140" s="651">
        <v>6645</v>
      </c>
      <c r="C140" s="650" t="s">
        <v>1051</v>
      </c>
      <c r="D140" s="650" t="s">
        <v>240</v>
      </c>
      <c r="E140" s="650"/>
      <c r="F140" s="649" t="str">
        <f>IF(טבלה38[[#This Row],[סה"כ]]&gt;0,טבלה38[[#This Row],[סה"כ]],"")</f>
        <v/>
      </c>
      <c r="G140" s="656">
        <v>0.17</v>
      </c>
      <c r="H140" s="655">
        <f>טבלה38[[#This Row],[מחיר]]+טבלה38[[#This Row],[% מע"מ]]*טבלה38[[#This Row],[מחיר]]</f>
        <v>0</v>
      </c>
      <c r="I140" s="630">
        <f>טבלה38[[#This Row],[סה"כ]]*טבלה38[[#This Row],[מחיר ליח'' כולל ]]</f>
        <v>0</v>
      </c>
      <c r="J140" s="655">
        <f>SUM(טבלה38[[#This Row],[פימת קפה]:[תוספות]])</f>
        <v>0</v>
      </c>
      <c r="K140" s="655">
        <f>SUMIF(טבלה11517[מקט],טבלה38[[#This Row],[קוד מוצר]],טבלה11517[כמות])</f>
        <v>0</v>
      </c>
      <c r="L140" s="655">
        <f>SUMIF(טבלה115179[מקט],טבלה38[[#This Row],[קוד מוצר]],טבלה115179[כמות])</f>
        <v>0</v>
      </c>
      <c r="M140" s="655">
        <f>SUMIF(טבלה115[מקט],טבלה38[[#This Row],[קוד מוצר]],טבלה115[כמות])</f>
        <v>0</v>
      </c>
      <c r="N140" s="655">
        <f>SUMIF(טבלה1[מק"ט],טבלה38[[#This Row],[קוד מוצר]],טבלה1[כמות])</f>
        <v>0</v>
      </c>
      <c r="O140" s="655">
        <f>SUMIF(טבלה8[מק"ט],טבלה38[[#This Row],[קוד מוצר]],טבלה8[הזמנה])</f>
        <v>0</v>
      </c>
      <c r="P140" s="655">
        <f>SUMIF(טבלה15[מק"ט],טבלה38[[#This Row],[קוד מוצר]],טבלה15[הזמנה])</f>
        <v>0</v>
      </c>
      <c r="Q140" s="655">
        <f>SUMIF(טבלה1151718[מקט],טבלה38[[#This Row],[קוד מוצר]],טבלה1151718[כמות])</f>
        <v>0</v>
      </c>
      <c r="R140" s="655">
        <f>SUMIF(טבלה125[מקט],טבלה38[[#This Row],[קוד מוצר]],טבלה125[כמות])</f>
        <v>0</v>
      </c>
      <c r="S140" s="655">
        <f>SUMIF(טבלה33[מק"ט],טבלה38[[#This Row],[קוד מוצר]],טבלה33[הזמנה])</f>
        <v>0</v>
      </c>
      <c r="T140" s="655">
        <f>SUMIF(טבלה34[עמודה1],טבלה38[[#This Row],[קוד מוצר]],טבלה34[הזמנה])</f>
        <v>0</v>
      </c>
      <c r="U140" s="655">
        <f>SUMIF(טבלה35[עמודה1],טבלה38[[#This Row],[קוד מוצר]],טבלה35[הזמנה])</f>
        <v>0</v>
      </c>
      <c r="V140" s="655">
        <f>SUMIF(טבלה3338[מק"ט],טבלה38[[#This Row],[קוד מוצר]],טבלה3338[הזמנה])</f>
        <v>0</v>
      </c>
      <c r="W140" s="655">
        <f>SUMIF(טבלה3540[עמודה1],טבלה38[[#This Row],[קוד מוצר]],טבלה3540[הזמנה])</f>
        <v>0</v>
      </c>
      <c r="X140" s="655">
        <f>SUMIF(טבלה3441[עמודה1],טבלה38[[#This Row],[קוד מוצר]],טבלה3441[הזמנה])</f>
        <v>0</v>
      </c>
      <c r="Y140" s="655">
        <f>SUMIF(טבלה24[מקט],טבלה38[[#This Row],[קוד מוצר]],טבלה24[כמות])</f>
        <v>0</v>
      </c>
      <c r="Z140" s="655">
        <f>SUMIF(טבלה628[קוד מוצר],טבלה38[[#This Row],[קוד מוצר]],טבלה628[תוספת])</f>
        <v>0</v>
      </c>
      <c r="AA140" s="610">
        <f>טבלה38[[#This Row],[פימת קפה]]*טבלה38[[#This Row],[מחיר ליח'' כולל ]]</f>
        <v>0</v>
      </c>
      <c r="AB140" s="610">
        <f>טבלה38[[#This Row],[פת שחרית]]*טבלה38[[#This Row],[מחיר ליח'' כולל ]]</f>
        <v>0</v>
      </c>
      <c r="AC140" s="610">
        <f>טבלה38[[#This Row],[א. בוקר פריסה]]*טבלה38[[#This Row],[מחיר ליח'' כולל ]]</f>
        <v>0</v>
      </c>
      <c r="AD140" s="666">
        <f>טבלה38[[#This Row],[א. צהררים פריסה ]]*טבלה38[[#This Row],[מחיר ליח'' כולל ]]</f>
        <v>0</v>
      </c>
      <c r="AE140" s="666">
        <f>טבלה38[[#This Row],[בוקר קיטים]]*טבלה38[[#This Row],[מחיר ליח'' כולל ]]</f>
        <v>0</v>
      </c>
      <c r="AF140" s="666">
        <f>טבלה38[[#This Row],[צהריים קיטים]]*טבלה38[[#This Row],[מחיר ליח'' כולל ]]</f>
        <v>0</v>
      </c>
      <c r="AG140" s="666">
        <f>טבלה38[[#This Row],[פריסת אמצע]]*טבלה38[[#This Row],[מחיר ליח'' כולל ]]</f>
        <v>0</v>
      </c>
      <c r="AH140" s="666">
        <f>טבלה38[[#This Row],[מרק]]*טבלה38[[#This Row],[מחיר ליח'' כולל ]]</f>
        <v>0</v>
      </c>
      <c r="AI140" s="666">
        <f>טבלה38[[#This Row],[ערב בישול 1]]*טבלה38[[#This Row],[מחיר ליח'' כולל ]]</f>
        <v>0</v>
      </c>
      <c r="AJ140" s="666">
        <f>טבלה38[[#This Row],[ערב בישול 2]]*טבלה38[[#This Row],[מחיר ליח'' כולל ]]</f>
        <v>0</v>
      </c>
      <c r="AK140" s="666">
        <f>טבלה38[[#This Row],[ערב בישול 3]]*טבלה38[[#This Row],[מחיר ליח'' כולל ]]</f>
        <v>0</v>
      </c>
      <c r="AL140" s="666">
        <f>טבלה38[[#This Row],[ערב קטן 1]]*טבלה38[[#This Row],[מחיר ליח'' כולל ]]</f>
        <v>0</v>
      </c>
      <c r="AM140" s="666">
        <f>טבלה38[[#This Row],[ערב קטן 2]]*טבלה38[[#This Row],[מחיר ליח'' כולל ]]</f>
        <v>0</v>
      </c>
      <c r="AN140" s="666">
        <f>טבלה38[[#This Row],[ערב קטן 3]]*טבלה38[[#This Row],[מחיר ליח'' כולל ]]</f>
        <v>0</v>
      </c>
      <c r="AO140" s="666">
        <f>טבלה38[[#This Row],[קיטים מיוחדים]]*טבלה38[[#This Row],[מחיר ליח'' כולל ]]</f>
        <v>0</v>
      </c>
      <c r="AP140" s="666">
        <f>טבלה38[[#This Row],[תוספות]]*טבלה38[[#This Row],[מחיר ליח'' כולל ]]</f>
        <v>0</v>
      </c>
    </row>
    <row r="141" spans="2:42" ht="14.4">
      <c r="B141" s="651">
        <v>6666</v>
      </c>
      <c r="C141" s="650" t="s">
        <v>1042</v>
      </c>
      <c r="D141" s="650" t="s">
        <v>602</v>
      </c>
      <c r="E141" s="650"/>
      <c r="F141" s="650" t="str">
        <f>IF(טבלה38[[#This Row],[סה"כ]]&gt;0,טבלה38[[#This Row],[סה"כ]],"")</f>
        <v/>
      </c>
      <c r="G141" s="656">
        <v>0.17</v>
      </c>
      <c r="H141" s="655">
        <f>טבלה38[[#This Row],[מחיר]]+טבלה38[[#This Row],[% מע"מ]]*טבלה38[[#This Row],[מחיר]]</f>
        <v>0</v>
      </c>
      <c r="I141" s="630">
        <f>טבלה38[[#This Row],[סה"כ]]*טבלה38[[#This Row],[מחיר ליח'' כולל ]]</f>
        <v>0</v>
      </c>
      <c r="J141" s="655">
        <f>SUM(טבלה38[[#This Row],[פימת קפה]:[תוספות]])</f>
        <v>0</v>
      </c>
      <c r="K141" s="655">
        <f>SUMIF(טבלה11517[מקט],טבלה38[[#This Row],[קוד מוצר]],טבלה11517[כמות])</f>
        <v>0</v>
      </c>
      <c r="L141" s="655">
        <f>SUMIF(טבלה115179[מקט],טבלה38[[#This Row],[קוד מוצר]],טבלה115179[כמות])</f>
        <v>0</v>
      </c>
      <c r="M141" s="655">
        <f>SUMIF(טבלה115[מקט],טבלה38[[#This Row],[קוד מוצר]],טבלה115[כמות])</f>
        <v>0</v>
      </c>
      <c r="N141" s="655">
        <f>SUMIF(טבלה1[מק"ט],טבלה38[[#This Row],[קוד מוצר]],טבלה1[כמות])</f>
        <v>0</v>
      </c>
      <c r="O141" s="655">
        <f>SUMIF(טבלה8[מק"ט],טבלה38[[#This Row],[קוד מוצר]],טבלה8[הזמנה])</f>
        <v>0</v>
      </c>
      <c r="P141" s="655">
        <f>SUMIF(טבלה15[מק"ט],טבלה38[[#This Row],[קוד מוצר]],טבלה15[הזמנה])</f>
        <v>0</v>
      </c>
      <c r="Q141" s="655">
        <f>SUMIF(טבלה1151718[מקט],טבלה38[[#This Row],[קוד מוצר]],טבלה1151718[כמות])</f>
        <v>0</v>
      </c>
      <c r="R141" s="655">
        <f>SUMIF(טבלה125[מקט],טבלה38[[#This Row],[קוד מוצר]],טבלה125[כמות])</f>
        <v>0</v>
      </c>
      <c r="S141" s="655">
        <f>SUMIF(טבלה33[מק"ט],טבלה38[[#This Row],[קוד מוצר]],טבלה33[הזמנה])</f>
        <v>0</v>
      </c>
      <c r="T141" s="655">
        <f>SUMIF(טבלה34[עמודה1],טבלה38[[#This Row],[קוד מוצר]],טבלה34[הזמנה])</f>
        <v>0</v>
      </c>
      <c r="U141" s="655">
        <f>SUMIF(טבלה35[עמודה1],טבלה38[[#This Row],[קוד מוצר]],טבלה35[הזמנה])</f>
        <v>0</v>
      </c>
      <c r="V141" s="655">
        <f>SUMIF(טבלה3338[מק"ט],טבלה38[[#This Row],[קוד מוצר]],טבלה3338[הזמנה])</f>
        <v>0</v>
      </c>
      <c r="W141" s="655">
        <f>SUMIF(טבלה3540[עמודה1],טבלה38[[#This Row],[קוד מוצר]],טבלה3540[הזמנה])</f>
        <v>0</v>
      </c>
      <c r="X141" s="655">
        <f>SUMIF(טבלה3441[עמודה1],טבלה38[[#This Row],[קוד מוצר]],טבלה3441[הזמנה])</f>
        <v>0</v>
      </c>
      <c r="Y141" s="655">
        <f>SUMIF(טבלה24[מקט],טבלה38[[#This Row],[קוד מוצר]],טבלה24[כמות])</f>
        <v>0</v>
      </c>
      <c r="Z141" s="655">
        <f>SUMIF(טבלה628[קוד מוצר],טבלה38[[#This Row],[קוד מוצר]],טבלה628[תוספת])</f>
        <v>0</v>
      </c>
      <c r="AA141" s="610">
        <f>טבלה38[[#This Row],[פימת קפה]]*טבלה38[[#This Row],[מחיר ליח'' כולל ]]</f>
        <v>0</v>
      </c>
      <c r="AB141" s="610">
        <f>טבלה38[[#This Row],[פת שחרית]]*טבלה38[[#This Row],[מחיר ליח'' כולל ]]</f>
        <v>0</v>
      </c>
      <c r="AC141" s="610">
        <f>טבלה38[[#This Row],[א. בוקר פריסה]]*טבלה38[[#This Row],[מחיר ליח'' כולל ]]</f>
        <v>0</v>
      </c>
      <c r="AD141" s="666">
        <f>טבלה38[[#This Row],[א. צהררים פריסה ]]*טבלה38[[#This Row],[מחיר ליח'' כולל ]]</f>
        <v>0</v>
      </c>
      <c r="AE141" s="666">
        <f>טבלה38[[#This Row],[בוקר קיטים]]*טבלה38[[#This Row],[מחיר ליח'' כולל ]]</f>
        <v>0</v>
      </c>
      <c r="AF141" s="666">
        <f>טבלה38[[#This Row],[צהריים קיטים]]*טבלה38[[#This Row],[מחיר ליח'' כולל ]]</f>
        <v>0</v>
      </c>
      <c r="AG141" s="666">
        <f>טבלה38[[#This Row],[פריסת אמצע]]*טבלה38[[#This Row],[מחיר ליח'' כולל ]]</f>
        <v>0</v>
      </c>
      <c r="AH141" s="666">
        <f>טבלה38[[#This Row],[מרק]]*טבלה38[[#This Row],[מחיר ליח'' כולל ]]</f>
        <v>0</v>
      </c>
      <c r="AI141" s="666">
        <f>טבלה38[[#This Row],[ערב בישול 1]]*טבלה38[[#This Row],[מחיר ליח'' כולל ]]</f>
        <v>0</v>
      </c>
      <c r="AJ141" s="666">
        <f>טבלה38[[#This Row],[ערב בישול 2]]*טבלה38[[#This Row],[מחיר ליח'' כולל ]]</f>
        <v>0</v>
      </c>
      <c r="AK141" s="666">
        <f>טבלה38[[#This Row],[ערב בישול 3]]*טבלה38[[#This Row],[מחיר ליח'' כולל ]]</f>
        <v>0</v>
      </c>
      <c r="AL141" s="666">
        <f>טבלה38[[#This Row],[ערב קטן 1]]*טבלה38[[#This Row],[מחיר ליח'' כולל ]]</f>
        <v>0</v>
      </c>
      <c r="AM141" s="666">
        <f>טבלה38[[#This Row],[ערב קטן 2]]*טבלה38[[#This Row],[מחיר ליח'' כולל ]]</f>
        <v>0</v>
      </c>
      <c r="AN141" s="666">
        <f>טבלה38[[#This Row],[ערב קטן 3]]*טבלה38[[#This Row],[מחיר ליח'' כולל ]]</f>
        <v>0</v>
      </c>
      <c r="AO141" s="666">
        <f>טבלה38[[#This Row],[קיטים מיוחדים]]*טבלה38[[#This Row],[מחיר ליח'' כולל ]]</f>
        <v>0</v>
      </c>
      <c r="AP141" s="666">
        <f>טבלה38[[#This Row],[תוספות]]*טבלה38[[#This Row],[מחיר ליח'' כולל ]]</f>
        <v>0</v>
      </c>
    </row>
    <row r="142" spans="2:42" ht="14.4">
      <c r="B142" s="651">
        <v>6695</v>
      </c>
      <c r="C142" s="650" t="s">
        <v>1028</v>
      </c>
      <c r="D142" s="650" t="s">
        <v>602</v>
      </c>
      <c r="E142" s="650"/>
      <c r="F142" s="649" t="str">
        <f>IF(טבלה38[[#This Row],[סה"כ]]&gt;0,טבלה38[[#This Row],[סה"כ]],"")</f>
        <v/>
      </c>
      <c r="G142" s="656">
        <v>0.17</v>
      </c>
      <c r="H142" s="655">
        <f>טבלה38[[#This Row],[מחיר]]+טבלה38[[#This Row],[% מע"מ]]*טבלה38[[#This Row],[מחיר]]</f>
        <v>0</v>
      </c>
      <c r="I142" s="630">
        <f>טבלה38[[#This Row],[סה"כ]]*טבלה38[[#This Row],[מחיר ליח'' כולל ]]</f>
        <v>0</v>
      </c>
      <c r="J142" s="655">
        <f>SUM(טבלה38[[#This Row],[פימת קפה]:[תוספות]])</f>
        <v>0</v>
      </c>
      <c r="K142" s="655">
        <f>SUMIF(טבלה11517[מקט],טבלה38[[#This Row],[קוד מוצר]],טבלה11517[כמות])</f>
        <v>0</v>
      </c>
      <c r="L142" s="655">
        <f>SUMIF(טבלה115179[מקט],טבלה38[[#This Row],[קוד מוצר]],טבלה115179[כמות])</f>
        <v>0</v>
      </c>
      <c r="M142" s="655">
        <f>SUMIF(טבלה115[מקט],טבלה38[[#This Row],[קוד מוצר]],טבלה115[כמות])</f>
        <v>0</v>
      </c>
      <c r="N142" s="655">
        <f>SUMIF(טבלה1[מק"ט],טבלה38[[#This Row],[קוד מוצר]],טבלה1[כמות])</f>
        <v>0</v>
      </c>
      <c r="O142" s="655">
        <f>SUMIF(טבלה8[מק"ט],טבלה38[[#This Row],[קוד מוצר]],טבלה8[הזמנה])</f>
        <v>0</v>
      </c>
      <c r="P142" s="655">
        <f>SUMIF(טבלה15[מק"ט],טבלה38[[#This Row],[קוד מוצר]],טבלה15[הזמנה])</f>
        <v>0</v>
      </c>
      <c r="Q142" s="655">
        <f>SUMIF(טבלה1151718[מקט],טבלה38[[#This Row],[קוד מוצר]],טבלה1151718[כמות])</f>
        <v>0</v>
      </c>
      <c r="R142" s="655">
        <f>SUMIF(טבלה125[מקט],טבלה38[[#This Row],[קוד מוצר]],טבלה125[כמות])</f>
        <v>0</v>
      </c>
      <c r="S142" s="655">
        <f>SUMIF(טבלה33[מק"ט],טבלה38[[#This Row],[קוד מוצר]],טבלה33[הזמנה])</f>
        <v>0</v>
      </c>
      <c r="T142" s="655">
        <f>SUMIF(טבלה34[עמודה1],טבלה38[[#This Row],[קוד מוצר]],טבלה34[הזמנה])</f>
        <v>0</v>
      </c>
      <c r="U142" s="655">
        <f>SUMIF(טבלה35[עמודה1],טבלה38[[#This Row],[קוד מוצר]],טבלה35[הזמנה])</f>
        <v>0</v>
      </c>
      <c r="V142" s="655">
        <f>SUMIF(טבלה3338[מק"ט],טבלה38[[#This Row],[קוד מוצר]],טבלה3338[הזמנה])</f>
        <v>0</v>
      </c>
      <c r="W142" s="655">
        <f>SUMIF(טבלה3540[עמודה1],טבלה38[[#This Row],[קוד מוצר]],טבלה3540[הזמנה])</f>
        <v>0</v>
      </c>
      <c r="X142" s="655">
        <f>SUMIF(טבלה3441[עמודה1],טבלה38[[#This Row],[קוד מוצר]],טבלה3441[הזמנה])</f>
        <v>0</v>
      </c>
      <c r="Y142" s="655">
        <f>SUMIF(טבלה24[מקט],טבלה38[[#This Row],[קוד מוצר]],טבלה24[כמות])</f>
        <v>0</v>
      </c>
      <c r="Z142" s="655">
        <f>SUMIF(טבלה628[קוד מוצר],טבלה38[[#This Row],[קוד מוצר]],טבלה628[תוספת])</f>
        <v>0</v>
      </c>
      <c r="AA142" s="610">
        <f>טבלה38[[#This Row],[פימת קפה]]*טבלה38[[#This Row],[מחיר ליח'' כולל ]]</f>
        <v>0</v>
      </c>
      <c r="AB142" s="610">
        <f>טבלה38[[#This Row],[פת שחרית]]*טבלה38[[#This Row],[מחיר ליח'' כולל ]]</f>
        <v>0</v>
      </c>
      <c r="AC142" s="610">
        <f>טבלה38[[#This Row],[א. בוקר פריסה]]*טבלה38[[#This Row],[מחיר ליח'' כולל ]]</f>
        <v>0</v>
      </c>
      <c r="AD142" s="666">
        <f>טבלה38[[#This Row],[א. צהררים פריסה ]]*טבלה38[[#This Row],[מחיר ליח'' כולל ]]</f>
        <v>0</v>
      </c>
      <c r="AE142" s="666">
        <f>טבלה38[[#This Row],[בוקר קיטים]]*טבלה38[[#This Row],[מחיר ליח'' כולל ]]</f>
        <v>0</v>
      </c>
      <c r="AF142" s="666">
        <f>טבלה38[[#This Row],[צהריים קיטים]]*טבלה38[[#This Row],[מחיר ליח'' כולל ]]</f>
        <v>0</v>
      </c>
      <c r="AG142" s="666">
        <f>טבלה38[[#This Row],[פריסת אמצע]]*טבלה38[[#This Row],[מחיר ליח'' כולל ]]</f>
        <v>0</v>
      </c>
      <c r="AH142" s="666">
        <f>טבלה38[[#This Row],[מרק]]*טבלה38[[#This Row],[מחיר ליח'' כולל ]]</f>
        <v>0</v>
      </c>
      <c r="AI142" s="666">
        <f>טבלה38[[#This Row],[ערב בישול 1]]*טבלה38[[#This Row],[מחיר ליח'' כולל ]]</f>
        <v>0</v>
      </c>
      <c r="AJ142" s="666">
        <f>טבלה38[[#This Row],[ערב בישול 2]]*טבלה38[[#This Row],[מחיר ליח'' כולל ]]</f>
        <v>0</v>
      </c>
      <c r="AK142" s="666">
        <f>טבלה38[[#This Row],[ערב בישול 3]]*טבלה38[[#This Row],[מחיר ליח'' כולל ]]</f>
        <v>0</v>
      </c>
      <c r="AL142" s="666">
        <f>טבלה38[[#This Row],[ערב קטן 1]]*טבלה38[[#This Row],[מחיר ליח'' כולל ]]</f>
        <v>0</v>
      </c>
      <c r="AM142" s="666">
        <f>טבלה38[[#This Row],[ערב קטן 2]]*טבלה38[[#This Row],[מחיר ליח'' כולל ]]</f>
        <v>0</v>
      </c>
      <c r="AN142" s="666">
        <f>טבלה38[[#This Row],[ערב קטן 3]]*טבלה38[[#This Row],[מחיר ליח'' כולל ]]</f>
        <v>0</v>
      </c>
      <c r="AO142" s="666">
        <f>טבלה38[[#This Row],[קיטים מיוחדים]]*טבלה38[[#This Row],[מחיר ליח'' כולל ]]</f>
        <v>0</v>
      </c>
      <c r="AP142" s="666">
        <f>טבלה38[[#This Row],[תוספות]]*טבלה38[[#This Row],[מחיר ליח'' כולל ]]</f>
        <v>0</v>
      </c>
    </row>
    <row r="143" spans="2:42" ht="14.4">
      <c r="B143" s="651">
        <v>6727</v>
      </c>
      <c r="C143" s="650" t="s">
        <v>994</v>
      </c>
      <c r="D143" s="650" t="s">
        <v>602</v>
      </c>
      <c r="E143" s="650"/>
      <c r="F143" s="649" t="str">
        <f>IF(טבלה38[[#This Row],[סה"כ]]&gt;0,טבלה38[[#This Row],[סה"כ]],"")</f>
        <v/>
      </c>
      <c r="G143" s="656">
        <v>0.17</v>
      </c>
      <c r="H143" s="655">
        <f>טבלה38[[#This Row],[מחיר]]+טבלה38[[#This Row],[% מע"מ]]*טבלה38[[#This Row],[מחיר]]</f>
        <v>0</v>
      </c>
      <c r="I143" s="630">
        <f>טבלה38[[#This Row],[סה"כ]]*טבלה38[[#This Row],[מחיר ליח'' כולל ]]</f>
        <v>0</v>
      </c>
      <c r="J143" s="655">
        <f>SUM(טבלה38[[#This Row],[פימת קפה]:[תוספות]])</f>
        <v>0</v>
      </c>
      <c r="K143" s="655">
        <f>SUMIF(טבלה11517[מקט],טבלה38[[#This Row],[קוד מוצר]],טבלה11517[כמות])</f>
        <v>0</v>
      </c>
      <c r="L143" s="655">
        <f>SUMIF(טבלה115179[מקט],טבלה38[[#This Row],[קוד מוצר]],טבלה115179[כמות])</f>
        <v>0</v>
      </c>
      <c r="M143" s="655">
        <f>SUMIF(טבלה115[מקט],טבלה38[[#This Row],[קוד מוצר]],טבלה115[כמות])</f>
        <v>0</v>
      </c>
      <c r="N143" s="655">
        <f>SUMIF(טבלה1[מק"ט],טבלה38[[#This Row],[קוד מוצר]],טבלה1[כמות])</f>
        <v>0</v>
      </c>
      <c r="O143" s="655">
        <f>SUMIF(טבלה8[מק"ט],טבלה38[[#This Row],[קוד מוצר]],טבלה8[הזמנה])</f>
        <v>0</v>
      </c>
      <c r="P143" s="655">
        <f>SUMIF(טבלה15[מק"ט],טבלה38[[#This Row],[קוד מוצר]],טבלה15[הזמנה])</f>
        <v>0</v>
      </c>
      <c r="Q143" s="655">
        <f>SUMIF(טבלה1151718[מקט],טבלה38[[#This Row],[קוד מוצר]],טבלה1151718[כמות])</f>
        <v>0</v>
      </c>
      <c r="R143" s="655">
        <f>SUMIF(טבלה125[מקט],טבלה38[[#This Row],[קוד מוצר]],טבלה125[כמות])</f>
        <v>0</v>
      </c>
      <c r="S143" s="655">
        <f>SUMIF(טבלה33[מק"ט],טבלה38[[#This Row],[קוד מוצר]],טבלה33[הזמנה])</f>
        <v>0</v>
      </c>
      <c r="T143" s="655">
        <f>SUMIF(טבלה34[עמודה1],טבלה38[[#This Row],[קוד מוצר]],טבלה34[הזמנה])</f>
        <v>0</v>
      </c>
      <c r="U143" s="655">
        <f>SUMIF(טבלה35[עמודה1],טבלה38[[#This Row],[קוד מוצר]],טבלה35[הזמנה])</f>
        <v>0</v>
      </c>
      <c r="V143" s="655">
        <f>SUMIF(טבלה3338[מק"ט],טבלה38[[#This Row],[קוד מוצר]],טבלה3338[הזמנה])</f>
        <v>0</v>
      </c>
      <c r="W143" s="655">
        <f>SUMIF(טבלה3540[עמודה1],טבלה38[[#This Row],[קוד מוצר]],טבלה3540[הזמנה])</f>
        <v>0</v>
      </c>
      <c r="X143" s="655">
        <f>SUMIF(טבלה3441[עמודה1],טבלה38[[#This Row],[קוד מוצר]],טבלה3441[הזמנה])</f>
        <v>0</v>
      </c>
      <c r="Y143" s="655">
        <f>SUMIF(טבלה24[מקט],טבלה38[[#This Row],[קוד מוצר]],טבלה24[כמות])</f>
        <v>0</v>
      </c>
      <c r="Z143" s="655">
        <f>SUMIF(טבלה628[קוד מוצר],טבלה38[[#This Row],[קוד מוצר]],טבלה628[תוספת])</f>
        <v>0</v>
      </c>
      <c r="AA143" s="610">
        <f>טבלה38[[#This Row],[פימת קפה]]*טבלה38[[#This Row],[מחיר ליח'' כולל ]]</f>
        <v>0</v>
      </c>
      <c r="AB143" s="610">
        <f>טבלה38[[#This Row],[פת שחרית]]*טבלה38[[#This Row],[מחיר ליח'' כולל ]]</f>
        <v>0</v>
      </c>
      <c r="AC143" s="610">
        <f>טבלה38[[#This Row],[א. בוקר פריסה]]*טבלה38[[#This Row],[מחיר ליח'' כולל ]]</f>
        <v>0</v>
      </c>
      <c r="AD143" s="666">
        <f>טבלה38[[#This Row],[א. צהררים פריסה ]]*טבלה38[[#This Row],[מחיר ליח'' כולל ]]</f>
        <v>0</v>
      </c>
      <c r="AE143" s="666">
        <f>טבלה38[[#This Row],[בוקר קיטים]]*טבלה38[[#This Row],[מחיר ליח'' כולל ]]</f>
        <v>0</v>
      </c>
      <c r="AF143" s="666">
        <f>טבלה38[[#This Row],[צהריים קיטים]]*טבלה38[[#This Row],[מחיר ליח'' כולל ]]</f>
        <v>0</v>
      </c>
      <c r="AG143" s="666">
        <f>טבלה38[[#This Row],[פריסת אמצע]]*טבלה38[[#This Row],[מחיר ליח'' כולל ]]</f>
        <v>0</v>
      </c>
      <c r="AH143" s="666">
        <f>טבלה38[[#This Row],[מרק]]*טבלה38[[#This Row],[מחיר ליח'' כולל ]]</f>
        <v>0</v>
      </c>
      <c r="AI143" s="666">
        <f>טבלה38[[#This Row],[ערב בישול 1]]*טבלה38[[#This Row],[מחיר ליח'' כולל ]]</f>
        <v>0</v>
      </c>
      <c r="AJ143" s="666">
        <f>טבלה38[[#This Row],[ערב בישול 2]]*טבלה38[[#This Row],[מחיר ליח'' כולל ]]</f>
        <v>0</v>
      </c>
      <c r="AK143" s="666">
        <f>טבלה38[[#This Row],[ערב בישול 3]]*טבלה38[[#This Row],[מחיר ליח'' כולל ]]</f>
        <v>0</v>
      </c>
      <c r="AL143" s="666">
        <f>טבלה38[[#This Row],[ערב קטן 1]]*טבלה38[[#This Row],[מחיר ליח'' כולל ]]</f>
        <v>0</v>
      </c>
      <c r="AM143" s="666">
        <f>טבלה38[[#This Row],[ערב קטן 2]]*טבלה38[[#This Row],[מחיר ליח'' כולל ]]</f>
        <v>0</v>
      </c>
      <c r="AN143" s="666">
        <f>טבלה38[[#This Row],[ערב קטן 3]]*טבלה38[[#This Row],[מחיר ליח'' כולל ]]</f>
        <v>0</v>
      </c>
      <c r="AO143" s="666">
        <f>טבלה38[[#This Row],[קיטים מיוחדים]]*טבלה38[[#This Row],[מחיר ליח'' כולל ]]</f>
        <v>0</v>
      </c>
      <c r="AP143" s="666">
        <f>טבלה38[[#This Row],[תוספות]]*טבלה38[[#This Row],[מחיר ליח'' כולל ]]</f>
        <v>0</v>
      </c>
    </row>
    <row r="144" spans="2:42" ht="14.4">
      <c r="B144" s="651">
        <v>6758</v>
      </c>
      <c r="C144" s="650" t="s">
        <v>934</v>
      </c>
      <c r="D144" s="650" t="s">
        <v>602</v>
      </c>
      <c r="E144" s="650"/>
      <c r="F144" s="649" t="str">
        <f>IF(טבלה38[[#This Row],[סה"כ]]&gt;0,טבלה38[[#This Row],[סה"כ]],"")</f>
        <v/>
      </c>
      <c r="G144" s="656">
        <v>0.17</v>
      </c>
      <c r="H144" s="655">
        <f>טבלה38[[#This Row],[מחיר]]+טבלה38[[#This Row],[% מע"מ]]*טבלה38[[#This Row],[מחיר]]</f>
        <v>0</v>
      </c>
      <c r="I144" s="630">
        <f>טבלה38[[#This Row],[סה"כ]]*טבלה38[[#This Row],[מחיר ליח'' כולל ]]</f>
        <v>0</v>
      </c>
      <c r="J144" s="655">
        <f>SUM(טבלה38[[#This Row],[פימת קפה]:[תוספות]])</f>
        <v>0</v>
      </c>
      <c r="K144" s="655">
        <f>SUMIF(טבלה11517[מקט],טבלה38[[#This Row],[קוד מוצר]],טבלה11517[כמות])</f>
        <v>0</v>
      </c>
      <c r="L144" s="655">
        <f>SUMIF(טבלה115179[מקט],טבלה38[[#This Row],[קוד מוצר]],טבלה115179[כמות])</f>
        <v>0</v>
      </c>
      <c r="M144" s="655">
        <f>SUMIF(טבלה115[מקט],טבלה38[[#This Row],[קוד מוצר]],טבלה115[כמות])</f>
        <v>0</v>
      </c>
      <c r="N144" s="655">
        <f>SUMIF(טבלה1[מק"ט],טבלה38[[#This Row],[קוד מוצר]],טבלה1[כמות])</f>
        <v>0</v>
      </c>
      <c r="O144" s="655">
        <f>SUMIF(טבלה8[מק"ט],טבלה38[[#This Row],[קוד מוצר]],טבלה8[הזמנה])</f>
        <v>0</v>
      </c>
      <c r="P144" s="655">
        <f>SUMIF(טבלה15[מק"ט],טבלה38[[#This Row],[קוד מוצר]],טבלה15[הזמנה])</f>
        <v>0</v>
      </c>
      <c r="Q144" s="655">
        <f>SUMIF(טבלה1151718[מקט],טבלה38[[#This Row],[קוד מוצר]],טבלה1151718[כמות])</f>
        <v>0</v>
      </c>
      <c r="R144" s="655">
        <f>SUMIF(טבלה125[מקט],טבלה38[[#This Row],[קוד מוצר]],טבלה125[כמות])</f>
        <v>0</v>
      </c>
      <c r="S144" s="655">
        <f>SUMIF(טבלה33[מק"ט],טבלה38[[#This Row],[קוד מוצר]],טבלה33[הזמנה])</f>
        <v>0</v>
      </c>
      <c r="T144" s="655">
        <f>SUMIF(טבלה34[עמודה1],טבלה38[[#This Row],[קוד מוצר]],טבלה34[הזמנה])</f>
        <v>0</v>
      </c>
      <c r="U144" s="655">
        <f>SUMIF(טבלה35[עמודה1],טבלה38[[#This Row],[קוד מוצר]],טבלה35[הזמנה])</f>
        <v>0</v>
      </c>
      <c r="V144" s="655">
        <f>SUMIF(טבלה3338[מק"ט],טבלה38[[#This Row],[קוד מוצר]],טבלה3338[הזמנה])</f>
        <v>0</v>
      </c>
      <c r="W144" s="655">
        <f>SUMIF(טבלה3540[עמודה1],טבלה38[[#This Row],[קוד מוצר]],טבלה3540[הזמנה])</f>
        <v>0</v>
      </c>
      <c r="X144" s="655">
        <f>SUMIF(טבלה3441[עמודה1],טבלה38[[#This Row],[קוד מוצר]],טבלה3441[הזמנה])</f>
        <v>0</v>
      </c>
      <c r="Y144" s="655">
        <f>SUMIF(טבלה24[מקט],טבלה38[[#This Row],[קוד מוצר]],טבלה24[כמות])</f>
        <v>0</v>
      </c>
      <c r="Z144" s="655">
        <f>SUMIF(טבלה628[קוד מוצר],טבלה38[[#This Row],[קוד מוצר]],טבלה628[תוספת])</f>
        <v>0</v>
      </c>
      <c r="AA144" s="610">
        <f>טבלה38[[#This Row],[פימת קפה]]*טבלה38[[#This Row],[מחיר ליח'' כולל ]]</f>
        <v>0</v>
      </c>
      <c r="AB144" s="610">
        <f>טבלה38[[#This Row],[פת שחרית]]*טבלה38[[#This Row],[מחיר ליח'' כולל ]]</f>
        <v>0</v>
      </c>
      <c r="AC144" s="610">
        <f>טבלה38[[#This Row],[א. בוקר פריסה]]*טבלה38[[#This Row],[מחיר ליח'' כולל ]]</f>
        <v>0</v>
      </c>
      <c r="AD144" s="666">
        <f>טבלה38[[#This Row],[א. צהררים פריסה ]]*טבלה38[[#This Row],[מחיר ליח'' כולל ]]</f>
        <v>0</v>
      </c>
      <c r="AE144" s="666">
        <f>טבלה38[[#This Row],[בוקר קיטים]]*טבלה38[[#This Row],[מחיר ליח'' כולל ]]</f>
        <v>0</v>
      </c>
      <c r="AF144" s="666">
        <f>טבלה38[[#This Row],[צהריים קיטים]]*טבלה38[[#This Row],[מחיר ליח'' כולל ]]</f>
        <v>0</v>
      </c>
      <c r="AG144" s="666">
        <f>טבלה38[[#This Row],[פריסת אמצע]]*טבלה38[[#This Row],[מחיר ליח'' כולל ]]</f>
        <v>0</v>
      </c>
      <c r="AH144" s="666">
        <f>טבלה38[[#This Row],[מרק]]*טבלה38[[#This Row],[מחיר ליח'' כולל ]]</f>
        <v>0</v>
      </c>
      <c r="AI144" s="666">
        <f>טבלה38[[#This Row],[ערב בישול 1]]*טבלה38[[#This Row],[מחיר ליח'' כולל ]]</f>
        <v>0</v>
      </c>
      <c r="AJ144" s="666">
        <f>טבלה38[[#This Row],[ערב בישול 2]]*טבלה38[[#This Row],[מחיר ליח'' כולל ]]</f>
        <v>0</v>
      </c>
      <c r="AK144" s="666">
        <f>טבלה38[[#This Row],[ערב בישול 3]]*טבלה38[[#This Row],[מחיר ליח'' כולל ]]</f>
        <v>0</v>
      </c>
      <c r="AL144" s="666">
        <f>טבלה38[[#This Row],[ערב קטן 1]]*טבלה38[[#This Row],[מחיר ליח'' כולל ]]</f>
        <v>0</v>
      </c>
      <c r="AM144" s="666">
        <f>טבלה38[[#This Row],[ערב קטן 2]]*טבלה38[[#This Row],[מחיר ליח'' כולל ]]</f>
        <v>0</v>
      </c>
      <c r="AN144" s="666">
        <f>טבלה38[[#This Row],[ערב קטן 3]]*טבלה38[[#This Row],[מחיר ליח'' כולל ]]</f>
        <v>0</v>
      </c>
      <c r="AO144" s="666">
        <f>טבלה38[[#This Row],[קיטים מיוחדים]]*טבלה38[[#This Row],[מחיר ליח'' כולל ]]</f>
        <v>0</v>
      </c>
      <c r="AP144" s="666">
        <f>טבלה38[[#This Row],[תוספות]]*טבלה38[[#This Row],[מחיר ליח'' כולל ]]</f>
        <v>0</v>
      </c>
    </row>
    <row r="145" spans="2:42" ht="14.4">
      <c r="B145" s="651">
        <v>6794</v>
      </c>
      <c r="C145" s="650" t="s">
        <v>1078</v>
      </c>
      <c r="D145" s="650" t="s">
        <v>602</v>
      </c>
      <c r="E145" s="650"/>
      <c r="F145" s="649" t="str">
        <f>IF(טבלה38[[#This Row],[סה"כ]]&gt;0,טבלה38[[#This Row],[סה"כ]],"")</f>
        <v/>
      </c>
      <c r="G145" s="656">
        <v>0.17</v>
      </c>
      <c r="H145" s="655">
        <f>טבלה38[[#This Row],[מחיר]]+טבלה38[[#This Row],[% מע"מ]]*טבלה38[[#This Row],[מחיר]]</f>
        <v>0</v>
      </c>
      <c r="I145" s="630">
        <f>טבלה38[[#This Row],[סה"כ]]*טבלה38[[#This Row],[מחיר ליח'' כולל ]]</f>
        <v>0</v>
      </c>
      <c r="J145" s="655">
        <f>SUM(טבלה38[[#This Row],[פימת קפה]:[תוספות]])</f>
        <v>0</v>
      </c>
      <c r="K145" s="655">
        <f>SUMIF(טבלה11517[מקט],טבלה38[[#This Row],[קוד מוצר]],טבלה11517[כמות])</f>
        <v>0</v>
      </c>
      <c r="L145" s="655">
        <f>SUMIF(טבלה115179[מקט],טבלה38[[#This Row],[קוד מוצר]],טבלה115179[כמות])</f>
        <v>0</v>
      </c>
      <c r="M145" s="655">
        <f>SUMIF(טבלה115[מקט],טבלה38[[#This Row],[קוד מוצר]],טבלה115[כמות])</f>
        <v>0</v>
      </c>
      <c r="N145" s="655">
        <f>SUMIF(טבלה1[מק"ט],טבלה38[[#This Row],[קוד מוצר]],טבלה1[כמות])</f>
        <v>0</v>
      </c>
      <c r="O145" s="655">
        <f>SUMIF(טבלה8[מק"ט],טבלה38[[#This Row],[קוד מוצר]],טבלה8[הזמנה])</f>
        <v>0</v>
      </c>
      <c r="P145" s="655">
        <f>SUMIF(טבלה15[מק"ט],טבלה38[[#This Row],[קוד מוצר]],טבלה15[הזמנה])</f>
        <v>0</v>
      </c>
      <c r="Q145" s="655">
        <f>SUMIF(טבלה1151718[מקט],טבלה38[[#This Row],[קוד מוצר]],טבלה1151718[כמות])</f>
        <v>0</v>
      </c>
      <c r="R145" s="655">
        <f>SUMIF(טבלה125[מקט],טבלה38[[#This Row],[קוד מוצר]],טבלה125[כמות])</f>
        <v>0</v>
      </c>
      <c r="S145" s="655">
        <f>SUMIF(טבלה33[מק"ט],טבלה38[[#This Row],[קוד מוצר]],טבלה33[הזמנה])</f>
        <v>0</v>
      </c>
      <c r="T145" s="655">
        <f>SUMIF(טבלה34[עמודה1],טבלה38[[#This Row],[קוד מוצר]],טבלה34[הזמנה])</f>
        <v>0</v>
      </c>
      <c r="U145" s="655">
        <f>SUMIF(טבלה35[עמודה1],טבלה38[[#This Row],[קוד מוצר]],טבלה35[הזמנה])</f>
        <v>0</v>
      </c>
      <c r="V145" s="655">
        <f>SUMIF(טבלה3338[מק"ט],טבלה38[[#This Row],[קוד מוצר]],טבלה3338[הזמנה])</f>
        <v>0</v>
      </c>
      <c r="W145" s="655">
        <f>SUMIF(טבלה3540[עמודה1],טבלה38[[#This Row],[קוד מוצר]],טבלה3540[הזמנה])</f>
        <v>0</v>
      </c>
      <c r="X145" s="655">
        <f>SUMIF(טבלה3441[עמודה1],טבלה38[[#This Row],[קוד מוצר]],טבלה3441[הזמנה])</f>
        <v>0</v>
      </c>
      <c r="Y145" s="655">
        <f>SUMIF(טבלה24[מקט],טבלה38[[#This Row],[קוד מוצר]],טבלה24[כמות])</f>
        <v>0</v>
      </c>
      <c r="Z145" s="655">
        <f>SUMIF(טבלה628[קוד מוצר],טבלה38[[#This Row],[קוד מוצר]],טבלה628[תוספת])</f>
        <v>0</v>
      </c>
      <c r="AA145" s="610">
        <f>טבלה38[[#This Row],[פימת קפה]]*טבלה38[[#This Row],[מחיר ליח'' כולל ]]</f>
        <v>0</v>
      </c>
      <c r="AB145" s="610">
        <f>טבלה38[[#This Row],[פת שחרית]]*טבלה38[[#This Row],[מחיר ליח'' כולל ]]</f>
        <v>0</v>
      </c>
      <c r="AC145" s="610">
        <f>טבלה38[[#This Row],[א. בוקר פריסה]]*טבלה38[[#This Row],[מחיר ליח'' כולל ]]</f>
        <v>0</v>
      </c>
      <c r="AD145" s="666">
        <f>טבלה38[[#This Row],[א. צהררים פריסה ]]*טבלה38[[#This Row],[מחיר ליח'' כולל ]]</f>
        <v>0</v>
      </c>
      <c r="AE145" s="666">
        <f>טבלה38[[#This Row],[בוקר קיטים]]*טבלה38[[#This Row],[מחיר ליח'' כולל ]]</f>
        <v>0</v>
      </c>
      <c r="AF145" s="666">
        <f>טבלה38[[#This Row],[צהריים קיטים]]*טבלה38[[#This Row],[מחיר ליח'' כולל ]]</f>
        <v>0</v>
      </c>
      <c r="AG145" s="666">
        <f>טבלה38[[#This Row],[פריסת אמצע]]*טבלה38[[#This Row],[מחיר ליח'' כולל ]]</f>
        <v>0</v>
      </c>
      <c r="AH145" s="666">
        <f>טבלה38[[#This Row],[מרק]]*טבלה38[[#This Row],[מחיר ליח'' כולל ]]</f>
        <v>0</v>
      </c>
      <c r="AI145" s="666">
        <f>טבלה38[[#This Row],[ערב בישול 1]]*טבלה38[[#This Row],[מחיר ליח'' כולל ]]</f>
        <v>0</v>
      </c>
      <c r="AJ145" s="666">
        <f>טבלה38[[#This Row],[ערב בישול 2]]*טבלה38[[#This Row],[מחיר ליח'' כולל ]]</f>
        <v>0</v>
      </c>
      <c r="AK145" s="666">
        <f>טבלה38[[#This Row],[ערב בישול 3]]*טבלה38[[#This Row],[מחיר ליח'' כולל ]]</f>
        <v>0</v>
      </c>
      <c r="AL145" s="666">
        <f>טבלה38[[#This Row],[ערב קטן 1]]*טבלה38[[#This Row],[מחיר ליח'' כולל ]]</f>
        <v>0</v>
      </c>
      <c r="AM145" s="666">
        <f>טבלה38[[#This Row],[ערב קטן 2]]*טבלה38[[#This Row],[מחיר ליח'' כולל ]]</f>
        <v>0</v>
      </c>
      <c r="AN145" s="666">
        <f>טבלה38[[#This Row],[ערב קטן 3]]*טבלה38[[#This Row],[מחיר ליח'' כולל ]]</f>
        <v>0</v>
      </c>
      <c r="AO145" s="666">
        <f>טבלה38[[#This Row],[קיטים מיוחדים]]*טבלה38[[#This Row],[מחיר ליח'' כולל ]]</f>
        <v>0</v>
      </c>
      <c r="AP145" s="666">
        <f>טבלה38[[#This Row],[תוספות]]*טבלה38[[#This Row],[מחיר ליח'' כולל ]]</f>
        <v>0</v>
      </c>
    </row>
    <row r="146" spans="2:42" ht="14.4">
      <c r="B146" s="651">
        <v>7022</v>
      </c>
      <c r="C146" s="650" t="s">
        <v>1022</v>
      </c>
      <c r="D146" s="650" t="s">
        <v>240</v>
      </c>
      <c r="E146" s="650"/>
      <c r="F146" s="649" t="str">
        <f>IF(טבלה38[[#This Row],[סה"כ]]&gt;0,טבלה38[[#This Row],[סה"כ]],"")</f>
        <v/>
      </c>
      <c r="G146" s="656">
        <v>0.17</v>
      </c>
      <c r="H146" s="655">
        <f>טבלה38[[#This Row],[מחיר]]+טבלה38[[#This Row],[% מע"מ]]*טבלה38[[#This Row],[מחיר]]</f>
        <v>0</v>
      </c>
      <c r="I146" s="630">
        <f>טבלה38[[#This Row],[סה"כ]]*טבלה38[[#This Row],[מחיר ליח'' כולל ]]</f>
        <v>0</v>
      </c>
      <c r="J146" s="655">
        <f>SUM(טבלה38[[#This Row],[פימת קפה]:[תוספות]])</f>
        <v>0</v>
      </c>
      <c r="K146" s="655">
        <f>SUMIF(טבלה11517[מקט],טבלה38[[#This Row],[קוד מוצר]],טבלה11517[כמות])</f>
        <v>0</v>
      </c>
      <c r="L146" s="655">
        <f>SUMIF(טבלה115179[מקט],טבלה38[[#This Row],[קוד מוצר]],טבלה115179[כמות])</f>
        <v>0</v>
      </c>
      <c r="M146" s="655">
        <f>SUMIF(טבלה115[מקט],טבלה38[[#This Row],[קוד מוצר]],טבלה115[כמות])</f>
        <v>0</v>
      </c>
      <c r="N146" s="655">
        <f>SUMIF(טבלה1[מק"ט],טבלה38[[#This Row],[קוד מוצר]],טבלה1[כמות])</f>
        <v>0</v>
      </c>
      <c r="O146" s="655">
        <f>SUMIF(טבלה8[מק"ט],טבלה38[[#This Row],[קוד מוצר]],טבלה8[הזמנה])</f>
        <v>0</v>
      </c>
      <c r="P146" s="655">
        <f>SUMIF(טבלה15[מק"ט],טבלה38[[#This Row],[קוד מוצר]],טבלה15[הזמנה])</f>
        <v>0</v>
      </c>
      <c r="Q146" s="655">
        <f>SUMIF(טבלה1151718[מקט],טבלה38[[#This Row],[קוד מוצר]],טבלה1151718[כמות])</f>
        <v>0</v>
      </c>
      <c r="R146" s="655">
        <f>SUMIF(טבלה125[מקט],טבלה38[[#This Row],[קוד מוצר]],טבלה125[כמות])</f>
        <v>0</v>
      </c>
      <c r="S146" s="655">
        <f>SUMIF(טבלה33[מק"ט],טבלה38[[#This Row],[קוד מוצר]],טבלה33[הזמנה])</f>
        <v>0</v>
      </c>
      <c r="T146" s="655">
        <f>SUMIF(טבלה34[עמודה1],טבלה38[[#This Row],[קוד מוצר]],טבלה34[הזמנה])</f>
        <v>0</v>
      </c>
      <c r="U146" s="655">
        <f>SUMIF(טבלה35[עמודה1],טבלה38[[#This Row],[קוד מוצר]],טבלה35[הזמנה])</f>
        <v>0</v>
      </c>
      <c r="V146" s="655">
        <f>SUMIF(טבלה3338[מק"ט],טבלה38[[#This Row],[קוד מוצר]],טבלה3338[הזמנה])</f>
        <v>0</v>
      </c>
      <c r="W146" s="655">
        <f>SUMIF(טבלה3540[עמודה1],טבלה38[[#This Row],[קוד מוצר]],טבלה3540[הזמנה])</f>
        <v>0</v>
      </c>
      <c r="X146" s="655">
        <f>SUMIF(טבלה3441[עמודה1],טבלה38[[#This Row],[קוד מוצר]],טבלה3441[הזמנה])</f>
        <v>0</v>
      </c>
      <c r="Y146" s="655">
        <f>SUMIF(טבלה24[מקט],טבלה38[[#This Row],[קוד מוצר]],טבלה24[כמות])</f>
        <v>0</v>
      </c>
      <c r="Z146" s="655">
        <f>SUMIF(טבלה628[קוד מוצר],טבלה38[[#This Row],[קוד מוצר]],טבלה628[תוספת])</f>
        <v>0</v>
      </c>
      <c r="AA146" s="610">
        <f>טבלה38[[#This Row],[פימת קפה]]*טבלה38[[#This Row],[מחיר ליח'' כולל ]]</f>
        <v>0</v>
      </c>
      <c r="AB146" s="610">
        <f>טבלה38[[#This Row],[פת שחרית]]*טבלה38[[#This Row],[מחיר ליח'' כולל ]]</f>
        <v>0</v>
      </c>
      <c r="AC146" s="610">
        <f>טבלה38[[#This Row],[א. בוקר פריסה]]*טבלה38[[#This Row],[מחיר ליח'' כולל ]]</f>
        <v>0</v>
      </c>
      <c r="AD146" s="666">
        <f>טבלה38[[#This Row],[א. צהררים פריסה ]]*טבלה38[[#This Row],[מחיר ליח'' כולל ]]</f>
        <v>0</v>
      </c>
      <c r="AE146" s="666">
        <f>טבלה38[[#This Row],[בוקר קיטים]]*טבלה38[[#This Row],[מחיר ליח'' כולל ]]</f>
        <v>0</v>
      </c>
      <c r="AF146" s="666">
        <f>טבלה38[[#This Row],[צהריים קיטים]]*טבלה38[[#This Row],[מחיר ליח'' כולל ]]</f>
        <v>0</v>
      </c>
      <c r="AG146" s="666">
        <f>טבלה38[[#This Row],[פריסת אמצע]]*טבלה38[[#This Row],[מחיר ליח'' כולל ]]</f>
        <v>0</v>
      </c>
      <c r="AH146" s="666">
        <f>טבלה38[[#This Row],[מרק]]*טבלה38[[#This Row],[מחיר ליח'' כולל ]]</f>
        <v>0</v>
      </c>
      <c r="AI146" s="666">
        <f>טבלה38[[#This Row],[ערב בישול 1]]*טבלה38[[#This Row],[מחיר ליח'' כולל ]]</f>
        <v>0</v>
      </c>
      <c r="AJ146" s="666">
        <f>טבלה38[[#This Row],[ערב בישול 2]]*טבלה38[[#This Row],[מחיר ליח'' כולל ]]</f>
        <v>0</v>
      </c>
      <c r="AK146" s="666">
        <f>טבלה38[[#This Row],[ערב בישול 3]]*טבלה38[[#This Row],[מחיר ליח'' כולל ]]</f>
        <v>0</v>
      </c>
      <c r="AL146" s="666">
        <f>טבלה38[[#This Row],[ערב קטן 1]]*טבלה38[[#This Row],[מחיר ליח'' כולל ]]</f>
        <v>0</v>
      </c>
      <c r="AM146" s="666">
        <f>טבלה38[[#This Row],[ערב קטן 2]]*טבלה38[[#This Row],[מחיר ליח'' כולל ]]</f>
        <v>0</v>
      </c>
      <c r="AN146" s="666">
        <f>טבלה38[[#This Row],[ערב קטן 3]]*טבלה38[[#This Row],[מחיר ליח'' כולל ]]</f>
        <v>0</v>
      </c>
      <c r="AO146" s="666">
        <f>טבלה38[[#This Row],[קיטים מיוחדים]]*טבלה38[[#This Row],[מחיר ליח'' כולל ]]</f>
        <v>0</v>
      </c>
      <c r="AP146" s="666">
        <f>טבלה38[[#This Row],[תוספות]]*טבלה38[[#This Row],[מחיר ליח'' כולל ]]</f>
        <v>0</v>
      </c>
    </row>
    <row r="147" spans="2:42" ht="14.4">
      <c r="B147" s="651">
        <v>7088</v>
      </c>
      <c r="C147" s="650" t="s">
        <v>1088</v>
      </c>
      <c r="D147" s="650" t="s">
        <v>602</v>
      </c>
      <c r="E147" s="650"/>
      <c r="F147" s="649" t="str">
        <f ca="1">IF(טבלה38[[#This Row],[סה"כ]]&gt;0,טבלה38[[#This Row],[סה"כ]],"")</f>
        <v/>
      </c>
      <c r="G147" s="656">
        <v>0.17</v>
      </c>
      <c r="H147" s="655">
        <f>טבלה38[[#This Row],[מחיר]]+טבלה38[[#This Row],[% מע"מ]]*טבלה38[[#This Row],[מחיר]]</f>
        <v>0</v>
      </c>
      <c r="I147" s="630">
        <f ca="1">טבלה38[[#This Row],[סה"כ]]*טבלה38[[#This Row],[מחיר ליח'' כולל ]]</f>
        <v>0</v>
      </c>
      <c r="J147" s="655">
        <f ca="1">SUM(טבלה38[[#This Row],[פימת קפה]:[תוספות]])</f>
        <v>0</v>
      </c>
      <c r="K147" s="655">
        <f>SUMIF(טבלה11517[מקט],טבלה38[[#This Row],[קוד מוצר]],טבלה11517[כמות])</f>
        <v>0</v>
      </c>
      <c r="L147" s="655">
        <f>SUMIF(טבלה115179[מקט],טבלה38[[#This Row],[קוד מוצר]],טבלה115179[כמות])</f>
        <v>0</v>
      </c>
      <c r="M147" s="655">
        <f>SUMIF(טבלה115[מקט],טבלה38[[#This Row],[קוד מוצר]],טבלה115[כמות])</f>
        <v>0</v>
      </c>
      <c r="N147" s="655">
        <f>SUMIF(טבלה1[מק"ט],טבלה38[[#This Row],[קוד מוצר]],טבלה1[כמות])</f>
        <v>0</v>
      </c>
      <c r="O147" s="655">
        <f>SUMIF(טבלה8[מק"ט],טבלה38[[#This Row],[קוד מוצר]],טבלה8[הזמנה])</f>
        <v>0</v>
      </c>
      <c r="P147" s="655">
        <f>SUMIF(טבלה15[מק"ט],טבלה38[[#This Row],[קוד מוצר]],טבלה15[הזמנה])</f>
        <v>0</v>
      </c>
      <c r="Q147" s="655">
        <f>SUMIF(טבלה1151718[מקט],טבלה38[[#This Row],[קוד מוצר]],טבלה1151718[כמות])</f>
        <v>0</v>
      </c>
      <c r="R147" s="655">
        <f>SUMIF(טבלה125[מקט],טבלה38[[#This Row],[קוד מוצר]],טבלה125[כמות])</f>
        <v>0</v>
      </c>
      <c r="S147" s="655">
        <f>SUMIF(טבלה33[מק"ט],טבלה38[[#This Row],[קוד מוצר]],טבלה33[הזמנה])</f>
        <v>0</v>
      </c>
      <c r="T147" s="655">
        <f>SUMIF(טבלה34[עמודה1],טבלה38[[#This Row],[קוד מוצר]],טבלה34[הזמנה])</f>
        <v>0</v>
      </c>
      <c r="U147" s="655">
        <f>SUMIF(טבלה35[עמודה1],טבלה38[[#This Row],[קוד מוצר]],טבלה35[הזמנה])</f>
        <v>0</v>
      </c>
      <c r="V147" s="655">
        <f>SUMIF(טבלה3338[מק"ט],טבלה38[[#This Row],[קוד מוצר]],טבלה3338[הזמנה])</f>
        <v>0</v>
      </c>
      <c r="W147" s="655">
        <f>SUMIF(טבלה3540[עמודה1],טבלה38[[#This Row],[קוד מוצר]],טבלה3540[הזמנה])</f>
        <v>0</v>
      </c>
      <c r="X147" s="655">
        <f>SUMIF(טבלה3441[עמודה1],טבלה38[[#This Row],[קוד מוצר]],טבלה3441[הזמנה])</f>
        <v>0</v>
      </c>
      <c r="Y147" s="655">
        <f ca="1">SUMIF(טבלה24[מקט],טבלה38[[#This Row],[קוד מוצר]],טבלה24[כמות])</f>
        <v>0</v>
      </c>
      <c r="Z147" s="655">
        <f>SUMIF(טבלה628[קוד מוצר],טבלה38[[#This Row],[קוד מוצר]],טבלה628[תוספת])</f>
        <v>0</v>
      </c>
      <c r="AA147" s="610">
        <f>טבלה38[[#This Row],[פימת קפה]]*טבלה38[[#This Row],[מחיר ליח'' כולל ]]</f>
        <v>0</v>
      </c>
      <c r="AB147" s="610">
        <f>טבלה38[[#This Row],[פת שחרית]]*טבלה38[[#This Row],[מחיר ליח'' כולל ]]</f>
        <v>0</v>
      </c>
      <c r="AC147" s="610">
        <f>טבלה38[[#This Row],[א. בוקר פריסה]]*טבלה38[[#This Row],[מחיר ליח'' כולל ]]</f>
        <v>0</v>
      </c>
      <c r="AD147" s="666">
        <f>טבלה38[[#This Row],[א. צהררים פריסה ]]*טבלה38[[#This Row],[מחיר ליח'' כולל ]]</f>
        <v>0</v>
      </c>
      <c r="AE147" s="666">
        <f>טבלה38[[#This Row],[בוקר קיטים]]*טבלה38[[#This Row],[מחיר ליח'' כולל ]]</f>
        <v>0</v>
      </c>
      <c r="AF147" s="666">
        <f>טבלה38[[#This Row],[צהריים קיטים]]*טבלה38[[#This Row],[מחיר ליח'' כולל ]]</f>
        <v>0</v>
      </c>
      <c r="AG147" s="666">
        <f>טבלה38[[#This Row],[פריסת אמצע]]*טבלה38[[#This Row],[מחיר ליח'' כולל ]]</f>
        <v>0</v>
      </c>
      <c r="AH147" s="666">
        <f>טבלה38[[#This Row],[מרק]]*טבלה38[[#This Row],[מחיר ליח'' כולל ]]</f>
        <v>0</v>
      </c>
      <c r="AI147" s="666">
        <f>טבלה38[[#This Row],[ערב בישול 1]]*טבלה38[[#This Row],[מחיר ליח'' כולל ]]</f>
        <v>0</v>
      </c>
      <c r="AJ147" s="666">
        <f>טבלה38[[#This Row],[ערב בישול 2]]*טבלה38[[#This Row],[מחיר ליח'' כולל ]]</f>
        <v>0</v>
      </c>
      <c r="AK147" s="666">
        <f>טבלה38[[#This Row],[ערב בישול 3]]*טבלה38[[#This Row],[מחיר ליח'' כולל ]]</f>
        <v>0</v>
      </c>
      <c r="AL147" s="666">
        <f>טבלה38[[#This Row],[ערב קטן 1]]*טבלה38[[#This Row],[מחיר ליח'' כולל ]]</f>
        <v>0</v>
      </c>
      <c r="AM147" s="666">
        <f>טבלה38[[#This Row],[ערב קטן 2]]*טבלה38[[#This Row],[מחיר ליח'' כולל ]]</f>
        <v>0</v>
      </c>
      <c r="AN147" s="666">
        <f>טבלה38[[#This Row],[ערב קטן 3]]*טבלה38[[#This Row],[מחיר ליח'' כולל ]]</f>
        <v>0</v>
      </c>
      <c r="AO147" s="666">
        <f ca="1">טבלה38[[#This Row],[קיטים מיוחדים]]*טבלה38[[#This Row],[מחיר ליח'' כולל ]]</f>
        <v>0</v>
      </c>
      <c r="AP147" s="666">
        <f>טבלה38[[#This Row],[תוספות]]*טבלה38[[#This Row],[מחיר ליח'' כולל ]]</f>
        <v>0</v>
      </c>
    </row>
    <row r="148" spans="2:42" ht="14.4">
      <c r="B148" s="651">
        <v>7317</v>
      </c>
      <c r="C148" s="650" t="s">
        <v>1090</v>
      </c>
      <c r="E148" s="650"/>
      <c r="F148" s="649" t="str">
        <f>IF(טבלה38[[#This Row],[סה"כ]]&gt;0,טבלה38[[#This Row],[סה"כ]],"")</f>
        <v/>
      </c>
      <c r="G148" s="656">
        <v>0.17</v>
      </c>
      <c r="H148" s="655">
        <f>טבלה38[[#This Row],[מחיר]]+טבלה38[[#This Row],[% מע"מ]]*טבלה38[[#This Row],[מחיר]]</f>
        <v>0</v>
      </c>
      <c r="I148" s="630">
        <f>טבלה38[[#This Row],[סה"כ]]*טבלה38[[#This Row],[מחיר ליח'' כולל ]]</f>
        <v>0</v>
      </c>
      <c r="J148" s="655">
        <f>SUM(טבלה38[[#This Row],[פימת קפה]:[תוספות]])</f>
        <v>0</v>
      </c>
      <c r="K148" s="655">
        <f>SUMIF(טבלה11517[מקט],טבלה38[[#This Row],[קוד מוצר]],טבלה11517[כמות])</f>
        <v>0</v>
      </c>
      <c r="L148" s="655">
        <f>SUMIF(טבלה115179[מקט],טבלה38[[#This Row],[קוד מוצר]],טבלה115179[כמות])</f>
        <v>0</v>
      </c>
      <c r="M148" s="655">
        <f>SUMIF(טבלה115[מקט],טבלה38[[#This Row],[קוד מוצר]],טבלה115[כמות])</f>
        <v>0</v>
      </c>
      <c r="N148" s="655">
        <f>SUMIF(טבלה1[מק"ט],טבלה38[[#This Row],[קוד מוצר]],טבלה1[כמות])</f>
        <v>0</v>
      </c>
      <c r="O148" s="655">
        <f>SUMIF(טבלה8[מק"ט],טבלה38[[#This Row],[קוד מוצר]],טבלה8[הזמנה])</f>
        <v>0</v>
      </c>
      <c r="P148" s="655">
        <f>SUMIF(טבלה15[מק"ט],טבלה38[[#This Row],[קוד מוצר]],טבלה15[הזמנה])</f>
        <v>0</v>
      </c>
      <c r="Q148" s="655">
        <f>SUMIF(טבלה1151718[מקט],טבלה38[[#This Row],[קוד מוצר]],טבלה1151718[כמות])</f>
        <v>0</v>
      </c>
      <c r="R148" s="655">
        <f>SUMIF(טבלה125[מקט],טבלה38[[#This Row],[קוד מוצר]],טבלה125[כמות])</f>
        <v>0</v>
      </c>
      <c r="S148" s="655">
        <f>SUMIF(טבלה33[מק"ט],טבלה38[[#This Row],[קוד מוצר]],טבלה33[הזמנה])</f>
        <v>0</v>
      </c>
      <c r="T148" s="655">
        <f>SUMIF(טבלה34[עמודה1],טבלה38[[#This Row],[קוד מוצר]],טבלה34[הזמנה])</f>
        <v>0</v>
      </c>
      <c r="U148" s="655">
        <f>SUMIF(טבלה35[עמודה1],טבלה38[[#This Row],[קוד מוצר]],טבלה35[הזמנה])</f>
        <v>0</v>
      </c>
      <c r="V148" s="655">
        <f>SUMIF(טבלה3338[מק"ט],טבלה38[[#This Row],[קוד מוצר]],טבלה3338[הזמנה])</f>
        <v>0</v>
      </c>
      <c r="W148" s="655">
        <f>SUMIF(טבלה3540[עמודה1],טבלה38[[#This Row],[קוד מוצר]],טבלה3540[הזמנה])</f>
        <v>0</v>
      </c>
      <c r="X148" s="655">
        <f>SUMIF(טבלה3441[עמודה1],טבלה38[[#This Row],[קוד מוצר]],טבלה3441[הזמנה])</f>
        <v>0</v>
      </c>
      <c r="Y148" s="655">
        <f>SUMIF(טבלה24[מקט],טבלה38[[#This Row],[קוד מוצר]],טבלה24[כמות])</f>
        <v>0</v>
      </c>
      <c r="Z148" s="655">
        <f>SUMIF(טבלה628[קוד מוצר],טבלה38[[#This Row],[קוד מוצר]],טבלה628[תוספת])</f>
        <v>0</v>
      </c>
      <c r="AA148" s="610">
        <f>טבלה38[[#This Row],[פימת קפה]]*טבלה38[[#This Row],[מחיר ליח'' כולל ]]</f>
        <v>0</v>
      </c>
      <c r="AB148" s="610">
        <f>טבלה38[[#This Row],[פת שחרית]]*טבלה38[[#This Row],[מחיר ליח'' כולל ]]</f>
        <v>0</v>
      </c>
      <c r="AC148" s="610">
        <f>טבלה38[[#This Row],[א. בוקר פריסה]]*טבלה38[[#This Row],[מחיר ליח'' כולל ]]</f>
        <v>0</v>
      </c>
      <c r="AD148" s="666">
        <f>טבלה38[[#This Row],[א. צהררים פריסה ]]*טבלה38[[#This Row],[מחיר ליח'' כולל ]]</f>
        <v>0</v>
      </c>
      <c r="AE148" s="666">
        <f>טבלה38[[#This Row],[בוקר קיטים]]*טבלה38[[#This Row],[מחיר ליח'' כולל ]]</f>
        <v>0</v>
      </c>
      <c r="AF148" s="666">
        <f>טבלה38[[#This Row],[צהריים קיטים]]*טבלה38[[#This Row],[מחיר ליח'' כולל ]]</f>
        <v>0</v>
      </c>
      <c r="AG148" s="666">
        <f>טבלה38[[#This Row],[פריסת אמצע]]*טבלה38[[#This Row],[מחיר ליח'' כולל ]]</f>
        <v>0</v>
      </c>
      <c r="AH148" s="666">
        <f>טבלה38[[#This Row],[מרק]]*טבלה38[[#This Row],[מחיר ליח'' כולל ]]</f>
        <v>0</v>
      </c>
      <c r="AI148" s="666">
        <f>טבלה38[[#This Row],[ערב בישול 1]]*טבלה38[[#This Row],[מחיר ליח'' כולל ]]</f>
        <v>0</v>
      </c>
      <c r="AJ148" s="666">
        <f>טבלה38[[#This Row],[ערב בישול 2]]*טבלה38[[#This Row],[מחיר ליח'' כולל ]]</f>
        <v>0</v>
      </c>
      <c r="AK148" s="666">
        <f>טבלה38[[#This Row],[ערב בישול 3]]*טבלה38[[#This Row],[מחיר ליח'' כולל ]]</f>
        <v>0</v>
      </c>
      <c r="AL148" s="666">
        <f>טבלה38[[#This Row],[ערב קטן 1]]*טבלה38[[#This Row],[מחיר ליח'' כולל ]]</f>
        <v>0</v>
      </c>
      <c r="AM148" s="666">
        <f>טבלה38[[#This Row],[ערב קטן 2]]*טבלה38[[#This Row],[מחיר ליח'' כולל ]]</f>
        <v>0</v>
      </c>
      <c r="AN148" s="666">
        <f>טבלה38[[#This Row],[ערב קטן 3]]*טבלה38[[#This Row],[מחיר ליח'' כולל ]]</f>
        <v>0</v>
      </c>
      <c r="AO148" s="666">
        <f>טבלה38[[#This Row],[קיטים מיוחדים]]*טבלה38[[#This Row],[מחיר ליח'' כולל ]]</f>
        <v>0</v>
      </c>
      <c r="AP148" s="666">
        <f>טבלה38[[#This Row],[תוספות]]*טבלה38[[#This Row],[מחיר ליח'' כולל ]]</f>
        <v>0</v>
      </c>
    </row>
    <row r="149" spans="2:42" ht="14.4">
      <c r="B149" s="651">
        <v>7318</v>
      </c>
      <c r="C149" s="650" t="s">
        <v>1089</v>
      </c>
      <c r="D149" s="650" t="s">
        <v>602</v>
      </c>
      <c r="E149" s="650"/>
      <c r="F149" s="649" t="str">
        <f>IF(טבלה38[[#This Row],[סה"כ]]&gt;0,טבלה38[[#This Row],[סה"כ]],"")</f>
        <v/>
      </c>
      <c r="G149" s="656">
        <v>0.17</v>
      </c>
      <c r="H149" s="655">
        <f>טבלה38[[#This Row],[מחיר]]+טבלה38[[#This Row],[% מע"מ]]*טבלה38[[#This Row],[מחיר]]</f>
        <v>0</v>
      </c>
      <c r="I149" s="630">
        <f>טבלה38[[#This Row],[סה"כ]]*טבלה38[[#This Row],[מחיר ליח'' כולל ]]</f>
        <v>0</v>
      </c>
      <c r="J149" s="655">
        <f>SUM(טבלה38[[#This Row],[פימת קפה]:[תוספות]])</f>
        <v>0</v>
      </c>
      <c r="K149" s="655">
        <f>SUMIF(טבלה11517[מקט],טבלה38[[#This Row],[קוד מוצר]],טבלה11517[כמות])</f>
        <v>0</v>
      </c>
      <c r="L149" s="655">
        <f>SUMIF(טבלה115179[מקט],טבלה38[[#This Row],[קוד מוצר]],טבלה115179[כמות])</f>
        <v>0</v>
      </c>
      <c r="M149" s="655">
        <f>SUMIF(טבלה115[מקט],טבלה38[[#This Row],[קוד מוצר]],טבלה115[כמות])</f>
        <v>0</v>
      </c>
      <c r="N149" s="655">
        <f>SUMIF(טבלה1[מק"ט],טבלה38[[#This Row],[קוד מוצר]],טבלה1[כמות])</f>
        <v>0</v>
      </c>
      <c r="O149" s="655">
        <f>SUMIF(טבלה8[מק"ט],טבלה38[[#This Row],[קוד מוצר]],טבלה8[הזמנה])</f>
        <v>0</v>
      </c>
      <c r="P149" s="655">
        <f>SUMIF(טבלה15[מק"ט],טבלה38[[#This Row],[קוד מוצר]],טבלה15[הזמנה])</f>
        <v>0</v>
      </c>
      <c r="Q149" s="655">
        <f>SUMIF(טבלה1151718[מקט],טבלה38[[#This Row],[קוד מוצר]],טבלה1151718[כמות])</f>
        <v>0</v>
      </c>
      <c r="R149" s="655">
        <f>SUMIF(טבלה125[מקט],טבלה38[[#This Row],[קוד מוצר]],טבלה125[כמות])</f>
        <v>0</v>
      </c>
      <c r="S149" s="655">
        <f>SUMIF(טבלה33[מק"ט],טבלה38[[#This Row],[קוד מוצר]],טבלה33[הזמנה])</f>
        <v>0</v>
      </c>
      <c r="T149" s="655">
        <f>SUMIF(טבלה34[עמודה1],טבלה38[[#This Row],[קוד מוצר]],טבלה34[הזמנה])</f>
        <v>0</v>
      </c>
      <c r="U149" s="655">
        <f>SUMIF(טבלה35[עמודה1],טבלה38[[#This Row],[קוד מוצר]],טבלה35[הזמנה])</f>
        <v>0</v>
      </c>
      <c r="V149" s="655">
        <f>SUMIF(טבלה3338[מק"ט],טבלה38[[#This Row],[קוד מוצר]],טבלה3338[הזמנה])</f>
        <v>0</v>
      </c>
      <c r="W149" s="655">
        <f>SUMIF(טבלה3540[עמודה1],טבלה38[[#This Row],[קוד מוצר]],טבלה3540[הזמנה])</f>
        <v>0</v>
      </c>
      <c r="X149" s="655">
        <f>SUMIF(טבלה3441[עמודה1],טבלה38[[#This Row],[קוד מוצר]],טבלה3441[הזמנה])</f>
        <v>0</v>
      </c>
      <c r="Y149" s="655">
        <f>SUMIF(טבלה24[מקט],טבלה38[[#This Row],[קוד מוצר]],טבלה24[כמות])</f>
        <v>0</v>
      </c>
      <c r="Z149" s="655">
        <f>SUMIF(טבלה628[קוד מוצר],טבלה38[[#This Row],[קוד מוצר]],טבלה628[תוספת])</f>
        <v>0</v>
      </c>
      <c r="AA149" s="610">
        <f>טבלה38[[#This Row],[פימת קפה]]*טבלה38[[#This Row],[מחיר ליח'' כולל ]]</f>
        <v>0</v>
      </c>
      <c r="AB149" s="610">
        <f>טבלה38[[#This Row],[פת שחרית]]*טבלה38[[#This Row],[מחיר ליח'' כולל ]]</f>
        <v>0</v>
      </c>
      <c r="AC149" s="610">
        <f>טבלה38[[#This Row],[א. בוקר פריסה]]*טבלה38[[#This Row],[מחיר ליח'' כולל ]]</f>
        <v>0</v>
      </c>
      <c r="AD149" s="666">
        <f>טבלה38[[#This Row],[א. צהררים פריסה ]]*טבלה38[[#This Row],[מחיר ליח'' כולל ]]</f>
        <v>0</v>
      </c>
      <c r="AE149" s="666">
        <f>טבלה38[[#This Row],[בוקר קיטים]]*טבלה38[[#This Row],[מחיר ליח'' כולל ]]</f>
        <v>0</v>
      </c>
      <c r="AF149" s="666">
        <f>טבלה38[[#This Row],[צהריים קיטים]]*טבלה38[[#This Row],[מחיר ליח'' כולל ]]</f>
        <v>0</v>
      </c>
      <c r="AG149" s="666">
        <f>טבלה38[[#This Row],[פריסת אמצע]]*טבלה38[[#This Row],[מחיר ליח'' כולל ]]</f>
        <v>0</v>
      </c>
      <c r="AH149" s="666">
        <f>טבלה38[[#This Row],[מרק]]*טבלה38[[#This Row],[מחיר ליח'' כולל ]]</f>
        <v>0</v>
      </c>
      <c r="AI149" s="666">
        <f>טבלה38[[#This Row],[ערב בישול 1]]*טבלה38[[#This Row],[מחיר ליח'' כולל ]]</f>
        <v>0</v>
      </c>
      <c r="AJ149" s="666">
        <f>טבלה38[[#This Row],[ערב בישול 2]]*טבלה38[[#This Row],[מחיר ליח'' כולל ]]</f>
        <v>0</v>
      </c>
      <c r="AK149" s="666">
        <f>טבלה38[[#This Row],[ערב בישול 3]]*טבלה38[[#This Row],[מחיר ליח'' כולל ]]</f>
        <v>0</v>
      </c>
      <c r="AL149" s="666">
        <f>טבלה38[[#This Row],[ערב קטן 1]]*טבלה38[[#This Row],[מחיר ליח'' כולל ]]</f>
        <v>0</v>
      </c>
      <c r="AM149" s="666">
        <f>טבלה38[[#This Row],[ערב קטן 2]]*טבלה38[[#This Row],[מחיר ליח'' כולל ]]</f>
        <v>0</v>
      </c>
      <c r="AN149" s="666">
        <f>טבלה38[[#This Row],[ערב קטן 3]]*טבלה38[[#This Row],[מחיר ליח'' כולל ]]</f>
        <v>0</v>
      </c>
      <c r="AO149" s="666">
        <f>טבלה38[[#This Row],[קיטים מיוחדים]]*טבלה38[[#This Row],[מחיר ליח'' כולל ]]</f>
        <v>0</v>
      </c>
      <c r="AP149" s="666">
        <f>טבלה38[[#This Row],[תוספות]]*טבלה38[[#This Row],[מחיר ליח'' כולל ]]</f>
        <v>0</v>
      </c>
    </row>
    <row r="150" spans="2:42" ht="15.6">
      <c r="B150" s="651">
        <v>7357</v>
      </c>
      <c r="C150" s="650" t="s">
        <v>1068</v>
      </c>
      <c r="D150" s="650" t="s">
        <v>602</v>
      </c>
      <c r="E150" s="650"/>
      <c r="F150" s="652" t="str">
        <f>IF(טבלה38[[#This Row],[סה"כ]]&gt;0,טבלה38[[#This Row],[סה"כ]],"")</f>
        <v/>
      </c>
      <c r="G150" s="656">
        <v>0.17</v>
      </c>
      <c r="H150" s="655">
        <f>טבלה38[[#This Row],[מחיר]]+טבלה38[[#This Row],[% מע"מ]]*טבלה38[[#This Row],[מחיר]]</f>
        <v>0</v>
      </c>
      <c r="I150" s="630">
        <f>טבלה38[[#This Row],[סה"כ]]*טבלה38[[#This Row],[מחיר ליח'' כולל ]]</f>
        <v>0</v>
      </c>
      <c r="J150" s="655">
        <f>SUM(טבלה38[[#This Row],[פימת קפה]:[תוספות]])</f>
        <v>0</v>
      </c>
      <c r="K150" s="655">
        <f>SUMIF(טבלה11517[מקט],טבלה38[[#This Row],[קוד מוצר]],טבלה11517[כמות])</f>
        <v>0</v>
      </c>
      <c r="L150" s="655">
        <f>SUMIF(טבלה115179[מקט],טבלה38[[#This Row],[קוד מוצר]],טבלה115179[כמות])</f>
        <v>0</v>
      </c>
      <c r="M150" s="655">
        <f>SUMIF(טבלה115[מקט],טבלה38[[#This Row],[קוד מוצר]],טבלה115[כמות])</f>
        <v>0</v>
      </c>
      <c r="N150" s="655">
        <f>SUMIF(טבלה1[מק"ט],טבלה38[[#This Row],[קוד מוצר]],טבלה1[כמות])</f>
        <v>0</v>
      </c>
      <c r="O150" s="655">
        <f>SUMIF(טבלה8[מק"ט],טבלה38[[#This Row],[קוד מוצר]],טבלה8[הזמנה])</f>
        <v>0</v>
      </c>
      <c r="P150" s="655">
        <f>SUMIF(טבלה15[מק"ט],טבלה38[[#This Row],[קוד מוצר]],טבלה15[הזמנה])</f>
        <v>0</v>
      </c>
      <c r="Q150" s="655">
        <f>SUMIF(טבלה1151718[מקט],טבלה38[[#This Row],[קוד מוצר]],טבלה1151718[כמות])</f>
        <v>0</v>
      </c>
      <c r="R150" s="655">
        <f>SUMIF(טבלה125[מקט],טבלה38[[#This Row],[קוד מוצר]],טבלה125[כמות])</f>
        <v>0</v>
      </c>
      <c r="S150" s="655">
        <f>SUMIF(טבלה33[מק"ט],טבלה38[[#This Row],[קוד מוצר]],טבלה33[הזמנה])</f>
        <v>0</v>
      </c>
      <c r="T150" s="655">
        <f>SUMIF(טבלה34[עמודה1],טבלה38[[#This Row],[קוד מוצר]],טבלה34[הזמנה])</f>
        <v>0</v>
      </c>
      <c r="U150" s="655">
        <f>SUMIF(טבלה35[עמודה1],טבלה38[[#This Row],[קוד מוצר]],טבלה35[הזמנה])</f>
        <v>0</v>
      </c>
      <c r="V150" s="655">
        <f>SUMIF(טבלה3338[מק"ט],טבלה38[[#This Row],[קוד מוצר]],טבלה3338[הזמנה])</f>
        <v>0</v>
      </c>
      <c r="W150" s="655">
        <f>SUMIF(טבלה3540[עמודה1],טבלה38[[#This Row],[קוד מוצר]],טבלה3540[הזמנה])</f>
        <v>0</v>
      </c>
      <c r="X150" s="655">
        <f>SUMIF(טבלה3441[עמודה1],טבלה38[[#This Row],[קוד מוצר]],טבלה3441[הזמנה])</f>
        <v>0</v>
      </c>
      <c r="Y150" s="655">
        <f>SUMIF(טבלה24[מקט],טבלה38[[#This Row],[קוד מוצר]],טבלה24[כמות])</f>
        <v>0</v>
      </c>
      <c r="Z150" s="655">
        <f>SUMIF(טבלה628[קוד מוצר],טבלה38[[#This Row],[קוד מוצר]],טבלה628[תוספת])</f>
        <v>0</v>
      </c>
      <c r="AA150" s="610">
        <f>טבלה38[[#This Row],[פימת קפה]]*טבלה38[[#This Row],[מחיר ליח'' כולל ]]</f>
        <v>0</v>
      </c>
      <c r="AB150" s="610">
        <f>טבלה38[[#This Row],[פת שחרית]]*טבלה38[[#This Row],[מחיר ליח'' כולל ]]</f>
        <v>0</v>
      </c>
      <c r="AC150" s="610">
        <f>טבלה38[[#This Row],[א. בוקר פריסה]]*טבלה38[[#This Row],[מחיר ליח'' כולל ]]</f>
        <v>0</v>
      </c>
      <c r="AD150" s="666">
        <f>טבלה38[[#This Row],[א. צהררים פריסה ]]*טבלה38[[#This Row],[מחיר ליח'' כולל ]]</f>
        <v>0</v>
      </c>
      <c r="AE150" s="666">
        <f>טבלה38[[#This Row],[בוקר קיטים]]*טבלה38[[#This Row],[מחיר ליח'' כולל ]]</f>
        <v>0</v>
      </c>
      <c r="AF150" s="666">
        <f>טבלה38[[#This Row],[צהריים קיטים]]*טבלה38[[#This Row],[מחיר ליח'' כולל ]]</f>
        <v>0</v>
      </c>
      <c r="AG150" s="666">
        <f>טבלה38[[#This Row],[פריסת אמצע]]*טבלה38[[#This Row],[מחיר ליח'' כולל ]]</f>
        <v>0</v>
      </c>
      <c r="AH150" s="666">
        <f>טבלה38[[#This Row],[מרק]]*טבלה38[[#This Row],[מחיר ליח'' כולל ]]</f>
        <v>0</v>
      </c>
      <c r="AI150" s="666">
        <f>טבלה38[[#This Row],[ערב בישול 1]]*טבלה38[[#This Row],[מחיר ליח'' כולל ]]</f>
        <v>0</v>
      </c>
      <c r="AJ150" s="666">
        <f>טבלה38[[#This Row],[ערב בישול 2]]*טבלה38[[#This Row],[מחיר ליח'' כולל ]]</f>
        <v>0</v>
      </c>
      <c r="AK150" s="666">
        <f>טבלה38[[#This Row],[ערב בישול 3]]*טבלה38[[#This Row],[מחיר ליח'' כולל ]]</f>
        <v>0</v>
      </c>
      <c r="AL150" s="666">
        <f>טבלה38[[#This Row],[ערב קטן 1]]*טבלה38[[#This Row],[מחיר ליח'' כולל ]]</f>
        <v>0</v>
      </c>
      <c r="AM150" s="666">
        <f>טבלה38[[#This Row],[ערב קטן 2]]*טבלה38[[#This Row],[מחיר ליח'' כולל ]]</f>
        <v>0</v>
      </c>
      <c r="AN150" s="666">
        <f>טבלה38[[#This Row],[ערב קטן 3]]*טבלה38[[#This Row],[מחיר ליח'' כולל ]]</f>
        <v>0</v>
      </c>
      <c r="AO150" s="666">
        <f>טבלה38[[#This Row],[קיטים מיוחדים]]*טבלה38[[#This Row],[מחיר ליח'' כולל ]]</f>
        <v>0</v>
      </c>
      <c r="AP150" s="666">
        <f>טבלה38[[#This Row],[תוספות]]*טבלה38[[#This Row],[מחיר ליח'' כולל ]]</f>
        <v>0</v>
      </c>
    </row>
    <row r="151" spans="2:42" ht="14.4">
      <c r="B151" s="651">
        <v>7453</v>
      </c>
      <c r="C151" s="650" t="s">
        <v>1066</v>
      </c>
      <c r="D151" s="650" t="s">
        <v>602</v>
      </c>
      <c r="E151" s="650"/>
      <c r="F151" s="649" t="str">
        <f>IF(טבלה38[[#This Row],[סה"כ]]&gt;0,טבלה38[[#This Row],[סה"כ]],"")</f>
        <v/>
      </c>
      <c r="G151" s="656">
        <v>0.17</v>
      </c>
      <c r="H151" s="655">
        <f>טבלה38[[#This Row],[מחיר]]+טבלה38[[#This Row],[% מע"מ]]*טבלה38[[#This Row],[מחיר]]</f>
        <v>0</v>
      </c>
      <c r="I151" s="630">
        <f>טבלה38[[#This Row],[סה"כ]]*טבלה38[[#This Row],[מחיר ליח'' כולל ]]</f>
        <v>0</v>
      </c>
      <c r="J151" s="655">
        <f>SUM(טבלה38[[#This Row],[פימת קפה]:[תוספות]])</f>
        <v>0</v>
      </c>
      <c r="K151" s="655">
        <f>SUMIF(טבלה11517[מקט],טבלה38[[#This Row],[קוד מוצר]],טבלה11517[כמות])</f>
        <v>0</v>
      </c>
      <c r="L151" s="655">
        <f>SUMIF(טבלה115179[מקט],טבלה38[[#This Row],[קוד מוצר]],טבלה115179[כמות])</f>
        <v>0</v>
      </c>
      <c r="M151" s="655">
        <f>SUMIF(טבלה115[מקט],טבלה38[[#This Row],[קוד מוצר]],טבלה115[כמות])</f>
        <v>0</v>
      </c>
      <c r="N151" s="655">
        <f>SUMIF(טבלה1[מק"ט],טבלה38[[#This Row],[קוד מוצר]],טבלה1[כמות])</f>
        <v>0</v>
      </c>
      <c r="O151" s="655">
        <f>SUMIF(טבלה8[מק"ט],טבלה38[[#This Row],[קוד מוצר]],טבלה8[הזמנה])</f>
        <v>0</v>
      </c>
      <c r="P151" s="655">
        <f>SUMIF(טבלה15[מק"ט],טבלה38[[#This Row],[קוד מוצר]],טבלה15[הזמנה])</f>
        <v>0</v>
      </c>
      <c r="Q151" s="655">
        <f>SUMIF(טבלה1151718[מקט],טבלה38[[#This Row],[קוד מוצר]],טבלה1151718[כמות])</f>
        <v>0</v>
      </c>
      <c r="R151" s="655">
        <f>SUMIF(טבלה125[מקט],טבלה38[[#This Row],[קוד מוצר]],טבלה125[כמות])</f>
        <v>0</v>
      </c>
      <c r="S151" s="655">
        <f>SUMIF(טבלה33[מק"ט],טבלה38[[#This Row],[קוד מוצר]],טבלה33[הזמנה])</f>
        <v>0</v>
      </c>
      <c r="T151" s="655">
        <f>SUMIF(טבלה34[עמודה1],טבלה38[[#This Row],[קוד מוצר]],טבלה34[הזמנה])</f>
        <v>0</v>
      </c>
      <c r="U151" s="655">
        <f>SUMIF(טבלה35[עמודה1],טבלה38[[#This Row],[קוד מוצר]],טבלה35[הזמנה])</f>
        <v>0</v>
      </c>
      <c r="V151" s="655">
        <f>SUMIF(טבלה3338[מק"ט],טבלה38[[#This Row],[קוד מוצר]],טבלה3338[הזמנה])</f>
        <v>0</v>
      </c>
      <c r="W151" s="655">
        <f>SUMIF(טבלה3540[עמודה1],טבלה38[[#This Row],[קוד מוצר]],טבלה3540[הזמנה])</f>
        <v>0</v>
      </c>
      <c r="X151" s="655">
        <f>SUMIF(טבלה3441[עמודה1],טבלה38[[#This Row],[קוד מוצר]],טבלה3441[הזמנה])</f>
        <v>0</v>
      </c>
      <c r="Y151" s="655">
        <f>SUMIF(טבלה24[מקט],טבלה38[[#This Row],[קוד מוצר]],טבלה24[כמות])</f>
        <v>0</v>
      </c>
      <c r="Z151" s="655">
        <f>SUMIF(טבלה628[קוד מוצר],טבלה38[[#This Row],[קוד מוצר]],טבלה628[תוספת])</f>
        <v>0</v>
      </c>
      <c r="AA151" s="610">
        <f>טבלה38[[#This Row],[פימת קפה]]*טבלה38[[#This Row],[מחיר ליח'' כולל ]]</f>
        <v>0</v>
      </c>
      <c r="AB151" s="610">
        <f>טבלה38[[#This Row],[פת שחרית]]*טבלה38[[#This Row],[מחיר ליח'' כולל ]]</f>
        <v>0</v>
      </c>
      <c r="AC151" s="610">
        <f>טבלה38[[#This Row],[א. בוקר פריסה]]*טבלה38[[#This Row],[מחיר ליח'' כולל ]]</f>
        <v>0</v>
      </c>
      <c r="AD151" s="666">
        <f>טבלה38[[#This Row],[א. צהררים פריסה ]]*טבלה38[[#This Row],[מחיר ליח'' כולל ]]</f>
        <v>0</v>
      </c>
      <c r="AE151" s="666">
        <f>טבלה38[[#This Row],[בוקר קיטים]]*טבלה38[[#This Row],[מחיר ליח'' כולל ]]</f>
        <v>0</v>
      </c>
      <c r="AF151" s="666">
        <f>טבלה38[[#This Row],[צהריים קיטים]]*טבלה38[[#This Row],[מחיר ליח'' כולל ]]</f>
        <v>0</v>
      </c>
      <c r="AG151" s="666">
        <f>טבלה38[[#This Row],[פריסת אמצע]]*טבלה38[[#This Row],[מחיר ליח'' כולל ]]</f>
        <v>0</v>
      </c>
      <c r="AH151" s="666">
        <f>טבלה38[[#This Row],[מרק]]*טבלה38[[#This Row],[מחיר ליח'' כולל ]]</f>
        <v>0</v>
      </c>
      <c r="AI151" s="666">
        <f>טבלה38[[#This Row],[ערב בישול 1]]*טבלה38[[#This Row],[מחיר ליח'' כולל ]]</f>
        <v>0</v>
      </c>
      <c r="AJ151" s="666">
        <f>טבלה38[[#This Row],[ערב בישול 2]]*טבלה38[[#This Row],[מחיר ליח'' כולל ]]</f>
        <v>0</v>
      </c>
      <c r="AK151" s="666">
        <f>טבלה38[[#This Row],[ערב בישול 3]]*טבלה38[[#This Row],[מחיר ליח'' כולל ]]</f>
        <v>0</v>
      </c>
      <c r="AL151" s="666">
        <f>טבלה38[[#This Row],[ערב קטן 1]]*טבלה38[[#This Row],[מחיר ליח'' כולל ]]</f>
        <v>0</v>
      </c>
      <c r="AM151" s="666">
        <f>טבלה38[[#This Row],[ערב קטן 2]]*טבלה38[[#This Row],[מחיר ליח'' כולל ]]</f>
        <v>0</v>
      </c>
      <c r="AN151" s="666">
        <f>טבלה38[[#This Row],[ערב קטן 3]]*טבלה38[[#This Row],[מחיר ליח'' כולל ]]</f>
        <v>0</v>
      </c>
      <c r="AO151" s="666">
        <f>טבלה38[[#This Row],[קיטים מיוחדים]]*טבלה38[[#This Row],[מחיר ליח'' כולל ]]</f>
        <v>0</v>
      </c>
      <c r="AP151" s="666">
        <f>טבלה38[[#This Row],[תוספות]]*טבלה38[[#This Row],[מחיר ליח'' כולל ]]</f>
        <v>0</v>
      </c>
    </row>
    <row r="152" spans="2:42" ht="14.4">
      <c r="B152" s="651">
        <v>7454</v>
      </c>
      <c r="C152" s="650" t="s">
        <v>1067</v>
      </c>
      <c r="E152" s="650"/>
      <c r="F152" s="650" t="str">
        <f>IF(טבלה38[[#This Row],[סה"כ]]&gt;0,טבלה38[[#This Row],[סה"כ]],"")</f>
        <v/>
      </c>
      <c r="G152" s="656">
        <v>0.17</v>
      </c>
      <c r="H152" s="655">
        <f>טבלה38[[#This Row],[מחיר]]+טבלה38[[#This Row],[% מע"מ]]*טבלה38[[#This Row],[מחיר]]</f>
        <v>0</v>
      </c>
      <c r="I152" s="630">
        <f>טבלה38[[#This Row],[סה"כ]]*טבלה38[[#This Row],[מחיר ליח'' כולל ]]</f>
        <v>0</v>
      </c>
      <c r="J152" s="655">
        <f>SUM(טבלה38[[#This Row],[פימת קפה]:[תוספות]])</f>
        <v>0</v>
      </c>
      <c r="K152" s="655">
        <f>SUMIF(טבלה11517[מקט],טבלה38[[#This Row],[קוד מוצר]],טבלה11517[כמות])</f>
        <v>0</v>
      </c>
      <c r="L152" s="655">
        <f>SUMIF(טבלה115179[מקט],טבלה38[[#This Row],[קוד מוצר]],טבלה115179[כמות])</f>
        <v>0</v>
      </c>
      <c r="M152" s="655">
        <f>SUMIF(טבלה115[מקט],טבלה38[[#This Row],[קוד מוצר]],טבלה115[כמות])</f>
        <v>0</v>
      </c>
      <c r="N152" s="655">
        <f>SUMIF(טבלה1[מק"ט],טבלה38[[#This Row],[קוד מוצר]],טבלה1[כמות])</f>
        <v>0</v>
      </c>
      <c r="O152" s="655">
        <f>SUMIF(טבלה8[מק"ט],טבלה38[[#This Row],[קוד מוצר]],טבלה8[הזמנה])</f>
        <v>0</v>
      </c>
      <c r="P152" s="655">
        <f>SUMIF(טבלה15[מק"ט],טבלה38[[#This Row],[קוד מוצר]],טבלה15[הזמנה])</f>
        <v>0</v>
      </c>
      <c r="Q152" s="655">
        <f>SUMIF(טבלה1151718[מקט],טבלה38[[#This Row],[קוד מוצר]],טבלה1151718[כמות])</f>
        <v>0</v>
      </c>
      <c r="R152" s="655">
        <f>SUMIF(טבלה125[מקט],טבלה38[[#This Row],[קוד מוצר]],טבלה125[כמות])</f>
        <v>0</v>
      </c>
      <c r="S152" s="655">
        <f>SUMIF(טבלה33[מק"ט],טבלה38[[#This Row],[קוד מוצר]],טבלה33[הזמנה])</f>
        <v>0</v>
      </c>
      <c r="T152" s="655">
        <f>SUMIF(טבלה34[עמודה1],טבלה38[[#This Row],[קוד מוצר]],טבלה34[הזמנה])</f>
        <v>0</v>
      </c>
      <c r="U152" s="655">
        <f>SUMIF(טבלה35[עמודה1],טבלה38[[#This Row],[קוד מוצר]],טבלה35[הזמנה])</f>
        <v>0</v>
      </c>
      <c r="V152" s="655">
        <f>SUMIF(טבלה3338[מק"ט],טבלה38[[#This Row],[קוד מוצר]],טבלה3338[הזמנה])</f>
        <v>0</v>
      </c>
      <c r="W152" s="655">
        <f>SUMIF(טבלה3540[עמודה1],טבלה38[[#This Row],[קוד מוצר]],טבלה3540[הזמנה])</f>
        <v>0</v>
      </c>
      <c r="X152" s="655">
        <f>SUMIF(טבלה3441[עמודה1],טבלה38[[#This Row],[קוד מוצר]],טבלה3441[הזמנה])</f>
        <v>0</v>
      </c>
      <c r="Y152" s="655">
        <f>SUMIF(טבלה24[מקט],טבלה38[[#This Row],[קוד מוצר]],טבלה24[כמות])</f>
        <v>0</v>
      </c>
      <c r="Z152" s="655">
        <f>SUMIF(טבלה628[קוד מוצר],טבלה38[[#This Row],[קוד מוצר]],טבלה628[תוספת])</f>
        <v>0</v>
      </c>
      <c r="AA152" s="610">
        <f>טבלה38[[#This Row],[פימת קפה]]*טבלה38[[#This Row],[מחיר ליח'' כולל ]]</f>
        <v>0</v>
      </c>
      <c r="AB152" s="610">
        <f>טבלה38[[#This Row],[פת שחרית]]*טבלה38[[#This Row],[מחיר ליח'' כולל ]]</f>
        <v>0</v>
      </c>
      <c r="AC152" s="610">
        <f>טבלה38[[#This Row],[א. בוקר פריסה]]*טבלה38[[#This Row],[מחיר ליח'' כולל ]]</f>
        <v>0</v>
      </c>
      <c r="AD152" s="666">
        <f>טבלה38[[#This Row],[א. צהררים פריסה ]]*טבלה38[[#This Row],[מחיר ליח'' כולל ]]</f>
        <v>0</v>
      </c>
      <c r="AE152" s="666">
        <f>טבלה38[[#This Row],[בוקר קיטים]]*טבלה38[[#This Row],[מחיר ליח'' כולל ]]</f>
        <v>0</v>
      </c>
      <c r="AF152" s="666">
        <f>טבלה38[[#This Row],[צהריים קיטים]]*טבלה38[[#This Row],[מחיר ליח'' כולל ]]</f>
        <v>0</v>
      </c>
      <c r="AG152" s="666">
        <f>טבלה38[[#This Row],[פריסת אמצע]]*טבלה38[[#This Row],[מחיר ליח'' כולל ]]</f>
        <v>0</v>
      </c>
      <c r="AH152" s="666">
        <f>טבלה38[[#This Row],[מרק]]*טבלה38[[#This Row],[מחיר ליח'' כולל ]]</f>
        <v>0</v>
      </c>
      <c r="AI152" s="666">
        <f>טבלה38[[#This Row],[ערב בישול 1]]*טבלה38[[#This Row],[מחיר ליח'' כולל ]]</f>
        <v>0</v>
      </c>
      <c r="AJ152" s="666">
        <f>טבלה38[[#This Row],[ערב בישול 2]]*טבלה38[[#This Row],[מחיר ליח'' כולל ]]</f>
        <v>0</v>
      </c>
      <c r="AK152" s="666">
        <f>טבלה38[[#This Row],[ערב בישול 3]]*טבלה38[[#This Row],[מחיר ליח'' כולל ]]</f>
        <v>0</v>
      </c>
      <c r="AL152" s="666">
        <f>טבלה38[[#This Row],[ערב קטן 1]]*טבלה38[[#This Row],[מחיר ליח'' כולל ]]</f>
        <v>0</v>
      </c>
      <c r="AM152" s="666">
        <f>טבלה38[[#This Row],[ערב קטן 2]]*טבלה38[[#This Row],[מחיר ליח'' כולל ]]</f>
        <v>0</v>
      </c>
      <c r="AN152" s="666">
        <f>טבלה38[[#This Row],[ערב קטן 3]]*טבלה38[[#This Row],[מחיר ליח'' כולל ]]</f>
        <v>0</v>
      </c>
      <c r="AO152" s="666">
        <f>טבלה38[[#This Row],[קיטים מיוחדים]]*טבלה38[[#This Row],[מחיר ליח'' כולל ]]</f>
        <v>0</v>
      </c>
      <c r="AP152" s="666">
        <f>טבלה38[[#This Row],[תוספות]]*טבלה38[[#This Row],[מחיר ליח'' כולל ]]</f>
        <v>0</v>
      </c>
    </row>
    <row r="153" spans="2:42" ht="14.4">
      <c r="B153" s="651">
        <v>7474</v>
      </c>
      <c r="C153" s="650" t="s">
        <v>1160</v>
      </c>
      <c r="D153" s="650" t="s">
        <v>602</v>
      </c>
      <c r="E153" s="650"/>
      <c r="F153" s="649" t="str">
        <f>IF(טבלה38[[#This Row],[סה"כ]]&gt;0,טבלה38[[#This Row],[סה"כ]],"")</f>
        <v/>
      </c>
      <c r="G153" s="656">
        <v>0.17</v>
      </c>
      <c r="H153" s="655">
        <f>טבלה38[[#This Row],[מחיר]]+טבלה38[[#This Row],[% מע"מ]]*טבלה38[[#This Row],[מחיר]]</f>
        <v>0</v>
      </c>
      <c r="I153" s="630">
        <f>טבלה38[[#This Row],[סה"כ]]*טבלה38[[#This Row],[מחיר ליח'' כולל ]]</f>
        <v>0</v>
      </c>
      <c r="J153" s="655">
        <f>SUM(טבלה38[[#This Row],[פימת קפה]:[תוספות]])</f>
        <v>0</v>
      </c>
      <c r="K153" s="655">
        <f>SUMIF(טבלה11517[מקט],טבלה38[[#This Row],[קוד מוצר]],טבלה11517[כמות])</f>
        <v>0</v>
      </c>
      <c r="L153" s="655">
        <f>SUMIF(טבלה115179[מקט],טבלה38[[#This Row],[קוד מוצר]],טבלה115179[כמות])</f>
        <v>0</v>
      </c>
      <c r="M153" s="655">
        <f>SUMIF(טבלה115[מקט],טבלה38[[#This Row],[קוד מוצר]],טבלה115[כמות])</f>
        <v>0</v>
      </c>
      <c r="N153" s="655">
        <f>SUMIF(טבלה1[מק"ט],טבלה38[[#This Row],[קוד מוצר]],טבלה1[כמות])</f>
        <v>0</v>
      </c>
      <c r="O153" s="655">
        <f>SUMIF(טבלה8[מק"ט],טבלה38[[#This Row],[קוד מוצר]],טבלה8[הזמנה])</f>
        <v>0</v>
      </c>
      <c r="P153" s="655">
        <f>SUMIF(טבלה15[מק"ט],טבלה38[[#This Row],[קוד מוצר]],טבלה15[הזמנה])</f>
        <v>0</v>
      </c>
      <c r="Q153" s="655">
        <f>SUMIF(טבלה1151718[מקט],טבלה38[[#This Row],[קוד מוצר]],טבלה1151718[כמות])</f>
        <v>0</v>
      </c>
      <c r="R153" s="655">
        <f>SUMIF(טבלה125[מקט],טבלה38[[#This Row],[קוד מוצר]],טבלה125[כמות])</f>
        <v>0</v>
      </c>
      <c r="S153" s="655">
        <f>SUMIF(טבלה33[מק"ט],טבלה38[[#This Row],[קוד מוצר]],טבלה33[הזמנה])</f>
        <v>0</v>
      </c>
      <c r="T153" s="655">
        <f>SUMIF(טבלה34[עמודה1],טבלה38[[#This Row],[קוד מוצר]],טבלה34[הזמנה])</f>
        <v>0</v>
      </c>
      <c r="U153" s="655">
        <f>SUMIF(טבלה35[עמודה1],טבלה38[[#This Row],[קוד מוצר]],טבלה35[הזמנה])</f>
        <v>0</v>
      </c>
      <c r="V153" s="655">
        <f>SUMIF(טבלה3338[מק"ט],טבלה38[[#This Row],[קוד מוצר]],טבלה3338[הזמנה])</f>
        <v>0</v>
      </c>
      <c r="W153" s="655">
        <f>SUMIF(טבלה3540[עמודה1],טבלה38[[#This Row],[קוד מוצר]],טבלה3540[הזמנה])</f>
        <v>0</v>
      </c>
      <c r="X153" s="655">
        <f>SUMIF(טבלה3441[עמודה1],טבלה38[[#This Row],[קוד מוצר]],טבלה3441[הזמנה])</f>
        <v>0</v>
      </c>
      <c r="Y153" s="655">
        <f>SUMIF(טבלה24[מקט],טבלה38[[#This Row],[קוד מוצר]],טבלה24[כמות])</f>
        <v>0</v>
      </c>
      <c r="Z153" s="655">
        <f>SUMIF(טבלה628[קוד מוצר],טבלה38[[#This Row],[קוד מוצר]],טבלה628[תוספת])</f>
        <v>0</v>
      </c>
      <c r="AA153" s="610">
        <f>טבלה38[[#This Row],[פימת קפה]]*טבלה38[[#This Row],[מחיר ליח'' כולל ]]</f>
        <v>0</v>
      </c>
      <c r="AB153" s="610">
        <f>טבלה38[[#This Row],[פת שחרית]]*טבלה38[[#This Row],[מחיר ליח'' כולל ]]</f>
        <v>0</v>
      </c>
      <c r="AC153" s="610">
        <f>טבלה38[[#This Row],[א. בוקר פריסה]]*טבלה38[[#This Row],[מחיר ליח'' כולל ]]</f>
        <v>0</v>
      </c>
      <c r="AD153" s="666">
        <f>טבלה38[[#This Row],[א. צהררים פריסה ]]*טבלה38[[#This Row],[מחיר ליח'' כולל ]]</f>
        <v>0</v>
      </c>
      <c r="AE153" s="666">
        <f>טבלה38[[#This Row],[בוקר קיטים]]*טבלה38[[#This Row],[מחיר ליח'' כולל ]]</f>
        <v>0</v>
      </c>
      <c r="AF153" s="666">
        <f>טבלה38[[#This Row],[צהריים קיטים]]*טבלה38[[#This Row],[מחיר ליח'' כולל ]]</f>
        <v>0</v>
      </c>
      <c r="AG153" s="666">
        <f>טבלה38[[#This Row],[פריסת אמצע]]*טבלה38[[#This Row],[מחיר ליח'' כולל ]]</f>
        <v>0</v>
      </c>
      <c r="AH153" s="666">
        <f>טבלה38[[#This Row],[מרק]]*טבלה38[[#This Row],[מחיר ליח'' כולל ]]</f>
        <v>0</v>
      </c>
      <c r="AI153" s="666">
        <f>טבלה38[[#This Row],[ערב בישול 1]]*טבלה38[[#This Row],[מחיר ליח'' כולל ]]</f>
        <v>0</v>
      </c>
      <c r="AJ153" s="666">
        <f>טבלה38[[#This Row],[ערב בישול 2]]*טבלה38[[#This Row],[מחיר ליח'' כולל ]]</f>
        <v>0</v>
      </c>
      <c r="AK153" s="666">
        <f>טבלה38[[#This Row],[ערב בישול 3]]*טבלה38[[#This Row],[מחיר ליח'' כולל ]]</f>
        <v>0</v>
      </c>
      <c r="AL153" s="666">
        <f>טבלה38[[#This Row],[ערב קטן 1]]*טבלה38[[#This Row],[מחיר ליח'' כולל ]]</f>
        <v>0</v>
      </c>
      <c r="AM153" s="666">
        <f>טבלה38[[#This Row],[ערב קטן 2]]*טבלה38[[#This Row],[מחיר ליח'' כולל ]]</f>
        <v>0</v>
      </c>
      <c r="AN153" s="666">
        <f>טבלה38[[#This Row],[ערב קטן 3]]*טבלה38[[#This Row],[מחיר ליח'' כולל ]]</f>
        <v>0</v>
      </c>
      <c r="AO153" s="666">
        <f>טבלה38[[#This Row],[קיטים מיוחדים]]*טבלה38[[#This Row],[מחיר ליח'' כולל ]]</f>
        <v>0</v>
      </c>
      <c r="AP153" s="666">
        <f>טבלה38[[#This Row],[תוספות]]*טבלה38[[#This Row],[מחיר ליח'' כולל ]]</f>
        <v>0</v>
      </c>
    </row>
    <row r="154" spans="2:42" ht="14.4">
      <c r="B154" s="651">
        <v>7648</v>
      </c>
      <c r="C154" s="650" t="s">
        <v>993</v>
      </c>
      <c r="D154" s="650" t="s">
        <v>602</v>
      </c>
      <c r="E154" s="650"/>
      <c r="F154" s="649" t="str">
        <f>IF(טבלה38[[#This Row],[סה"כ]]&gt;0,טבלה38[[#This Row],[סה"כ]],"")</f>
        <v/>
      </c>
      <c r="G154" s="656">
        <v>0.17</v>
      </c>
      <c r="H154" s="655">
        <f>טבלה38[[#This Row],[מחיר]]+טבלה38[[#This Row],[% מע"מ]]*טבלה38[[#This Row],[מחיר]]</f>
        <v>0</v>
      </c>
      <c r="I154" s="630">
        <f>טבלה38[[#This Row],[סה"כ]]*טבלה38[[#This Row],[מחיר ליח'' כולל ]]</f>
        <v>0</v>
      </c>
      <c r="J154" s="655">
        <f>SUM(טבלה38[[#This Row],[פימת קפה]:[תוספות]])</f>
        <v>0</v>
      </c>
      <c r="K154" s="655">
        <f>SUMIF(טבלה11517[מקט],טבלה38[[#This Row],[קוד מוצר]],טבלה11517[כמות])</f>
        <v>0</v>
      </c>
      <c r="L154" s="655">
        <f>SUMIF(טבלה115179[מקט],טבלה38[[#This Row],[קוד מוצר]],טבלה115179[כמות])</f>
        <v>0</v>
      </c>
      <c r="M154" s="655">
        <f>SUMIF(טבלה115[מקט],טבלה38[[#This Row],[קוד מוצר]],טבלה115[כמות])</f>
        <v>0</v>
      </c>
      <c r="N154" s="655">
        <f>SUMIF(טבלה1[מק"ט],טבלה38[[#This Row],[קוד מוצר]],טבלה1[כמות])</f>
        <v>0</v>
      </c>
      <c r="O154" s="655">
        <f>SUMIF(טבלה8[מק"ט],טבלה38[[#This Row],[קוד מוצר]],טבלה8[הזמנה])</f>
        <v>0</v>
      </c>
      <c r="P154" s="655">
        <f>SUMIF(טבלה15[מק"ט],טבלה38[[#This Row],[קוד מוצר]],טבלה15[הזמנה])</f>
        <v>0</v>
      </c>
      <c r="Q154" s="655">
        <f>SUMIF(טבלה1151718[מקט],טבלה38[[#This Row],[קוד מוצר]],טבלה1151718[כמות])</f>
        <v>0</v>
      </c>
      <c r="R154" s="655">
        <f>SUMIF(טבלה125[מקט],טבלה38[[#This Row],[קוד מוצר]],טבלה125[כמות])</f>
        <v>0</v>
      </c>
      <c r="S154" s="655">
        <f>SUMIF(טבלה33[מק"ט],טבלה38[[#This Row],[קוד מוצר]],טבלה33[הזמנה])</f>
        <v>0</v>
      </c>
      <c r="T154" s="655">
        <f>SUMIF(טבלה34[עמודה1],טבלה38[[#This Row],[קוד מוצר]],טבלה34[הזמנה])</f>
        <v>0</v>
      </c>
      <c r="U154" s="655">
        <f>SUMIF(טבלה35[עמודה1],טבלה38[[#This Row],[קוד מוצר]],טבלה35[הזמנה])</f>
        <v>0</v>
      </c>
      <c r="V154" s="655">
        <f>SUMIF(טבלה3338[מק"ט],טבלה38[[#This Row],[קוד מוצר]],טבלה3338[הזמנה])</f>
        <v>0</v>
      </c>
      <c r="W154" s="655">
        <f>SUMIF(טבלה3540[עמודה1],טבלה38[[#This Row],[קוד מוצר]],טבלה3540[הזמנה])</f>
        <v>0</v>
      </c>
      <c r="X154" s="655">
        <f>SUMIF(טבלה3441[עמודה1],טבלה38[[#This Row],[קוד מוצר]],טבלה3441[הזמנה])</f>
        <v>0</v>
      </c>
      <c r="Y154" s="655">
        <f>SUMIF(טבלה24[מקט],טבלה38[[#This Row],[קוד מוצר]],טבלה24[כמות])</f>
        <v>0</v>
      </c>
      <c r="Z154" s="655">
        <f>SUMIF(טבלה628[קוד מוצר],טבלה38[[#This Row],[קוד מוצר]],טבלה628[תוספת])</f>
        <v>0</v>
      </c>
      <c r="AA154" s="610">
        <f>טבלה38[[#This Row],[פימת קפה]]*טבלה38[[#This Row],[מחיר ליח'' כולל ]]</f>
        <v>0</v>
      </c>
      <c r="AB154" s="610">
        <f>טבלה38[[#This Row],[פת שחרית]]*טבלה38[[#This Row],[מחיר ליח'' כולל ]]</f>
        <v>0</v>
      </c>
      <c r="AC154" s="610">
        <f>טבלה38[[#This Row],[א. בוקר פריסה]]*טבלה38[[#This Row],[מחיר ליח'' כולל ]]</f>
        <v>0</v>
      </c>
      <c r="AD154" s="666">
        <f>טבלה38[[#This Row],[א. צהררים פריסה ]]*טבלה38[[#This Row],[מחיר ליח'' כולל ]]</f>
        <v>0</v>
      </c>
      <c r="AE154" s="666">
        <f>טבלה38[[#This Row],[בוקר קיטים]]*טבלה38[[#This Row],[מחיר ליח'' כולל ]]</f>
        <v>0</v>
      </c>
      <c r="AF154" s="666">
        <f>טבלה38[[#This Row],[צהריים קיטים]]*טבלה38[[#This Row],[מחיר ליח'' כולל ]]</f>
        <v>0</v>
      </c>
      <c r="AG154" s="666">
        <f>טבלה38[[#This Row],[פריסת אמצע]]*טבלה38[[#This Row],[מחיר ליח'' כולל ]]</f>
        <v>0</v>
      </c>
      <c r="AH154" s="666">
        <f>טבלה38[[#This Row],[מרק]]*טבלה38[[#This Row],[מחיר ליח'' כולל ]]</f>
        <v>0</v>
      </c>
      <c r="AI154" s="666">
        <f>טבלה38[[#This Row],[ערב בישול 1]]*טבלה38[[#This Row],[מחיר ליח'' כולל ]]</f>
        <v>0</v>
      </c>
      <c r="AJ154" s="666">
        <f>טבלה38[[#This Row],[ערב בישול 2]]*טבלה38[[#This Row],[מחיר ליח'' כולל ]]</f>
        <v>0</v>
      </c>
      <c r="AK154" s="666">
        <f>טבלה38[[#This Row],[ערב בישול 3]]*טבלה38[[#This Row],[מחיר ליח'' כולל ]]</f>
        <v>0</v>
      </c>
      <c r="AL154" s="666">
        <f>טבלה38[[#This Row],[ערב קטן 1]]*טבלה38[[#This Row],[מחיר ליח'' כולל ]]</f>
        <v>0</v>
      </c>
      <c r="AM154" s="666">
        <f>טבלה38[[#This Row],[ערב קטן 2]]*טבלה38[[#This Row],[מחיר ליח'' כולל ]]</f>
        <v>0</v>
      </c>
      <c r="AN154" s="666">
        <f>טבלה38[[#This Row],[ערב קטן 3]]*טבלה38[[#This Row],[מחיר ליח'' כולל ]]</f>
        <v>0</v>
      </c>
      <c r="AO154" s="666">
        <f>טבלה38[[#This Row],[קיטים מיוחדים]]*טבלה38[[#This Row],[מחיר ליח'' כולל ]]</f>
        <v>0</v>
      </c>
      <c r="AP154" s="666">
        <f>טבלה38[[#This Row],[תוספות]]*טבלה38[[#This Row],[מחיר ליח'' כולל ]]</f>
        <v>0</v>
      </c>
    </row>
    <row r="155" spans="2:42" ht="15.6">
      <c r="B155" s="651">
        <v>7699</v>
      </c>
      <c r="C155" s="650" t="s">
        <v>1069</v>
      </c>
      <c r="D155" s="650" t="s">
        <v>240</v>
      </c>
      <c r="E155" s="650"/>
      <c r="F155" s="652" t="str">
        <f>IF(טבלה38[[#This Row],[סה"כ]]&gt;0,טבלה38[[#This Row],[סה"כ]],"")</f>
        <v/>
      </c>
      <c r="G155" s="656">
        <v>0.17</v>
      </c>
      <c r="H155" s="655">
        <f>טבלה38[[#This Row],[מחיר]]+טבלה38[[#This Row],[% מע"מ]]*טבלה38[[#This Row],[מחיר]]</f>
        <v>0</v>
      </c>
      <c r="I155" s="630">
        <f>טבלה38[[#This Row],[סה"כ]]*טבלה38[[#This Row],[מחיר ליח'' כולל ]]</f>
        <v>0</v>
      </c>
      <c r="J155" s="655">
        <f>SUM(טבלה38[[#This Row],[פימת קפה]:[תוספות]])</f>
        <v>0</v>
      </c>
      <c r="K155" s="655">
        <f>SUMIF(טבלה11517[מקט],טבלה38[[#This Row],[קוד מוצר]],טבלה11517[כמות])</f>
        <v>0</v>
      </c>
      <c r="L155" s="655">
        <f>SUMIF(טבלה115179[מקט],טבלה38[[#This Row],[קוד מוצר]],טבלה115179[כמות])</f>
        <v>0</v>
      </c>
      <c r="M155" s="655">
        <f>SUMIF(טבלה115[מקט],טבלה38[[#This Row],[קוד מוצר]],טבלה115[כמות])</f>
        <v>0</v>
      </c>
      <c r="N155" s="655">
        <f>SUMIF(טבלה1[מק"ט],טבלה38[[#This Row],[קוד מוצר]],טבלה1[כמות])</f>
        <v>0</v>
      </c>
      <c r="O155" s="655">
        <f>SUMIF(טבלה8[מק"ט],טבלה38[[#This Row],[קוד מוצר]],טבלה8[הזמנה])</f>
        <v>0</v>
      </c>
      <c r="P155" s="655">
        <f>SUMIF(טבלה15[מק"ט],טבלה38[[#This Row],[קוד מוצר]],טבלה15[הזמנה])</f>
        <v>0</v>
      </c>
      <c r="Q155" s="655">
        <f>SUMIF(טבלה1151718[מקט],טבלה38[[#This Row],[קוד מוצר]],טבלה1151718[כמות])</f>
        <v>0</v>
      </c>
      <c r="R155" s="655">
        <f>SUMIF(טבלה125[מקט],טבלה38[[#This Row],[קוד מוצר]],טבלה125[כמות])</f>
        <v>0</v>
      </c>
      <c r="S155" s="655">
        <f>SUMIF(טבלה33[מק"ט],טבלה38[[#This Row],[קוד מוצר]],טבלה33[הזמנה])</f>
        <v>0</v>
      </c>
      <c r="T155" s="655">
        <f>SUMIF(טבלה34[עמודה1],טבלה38[[#This Row],[קוד מוצר]],טבלה34[הזמנה])</f>
        <v>0</v>
      </c>
      <c r="U155" s="655">
        <f>SUMIF(טבלה35[עמודה1],טבלה38[[#This Row],[קוד מוצר]],טבלה35[הזמנה])</f>
        <v>0</v>
      </c>
      <c r="V155" s="655">
        <f>SUMIF(טבלה3338[מק"ט],טבלה38[[#This Row],[קוד מוצר]],טבלה3338[הזמנה])</f>
        <v>0</v>
      </c>
      <c r="W155" s="655">
        <f>SUMIF(טבלה3540[עמודה1],טבלה38[[#This Row],[קוד מוצר]],טבלה3540[הזמנה])</f>
        <v>0</v>
      </c>
      <c r="X155" s="655">
        <f>SUMIF(טבלה3441[עמודה1],טבלה38[[#This Row],[קוד מוצר]],טבלה3441[הזמנה])</f>
        <v>0</v>
      </c>
      <c r="Y155" s="655">
        <f>SUMIF(טבלה24[מקט],טבלה38[[#This Row],[קוד מוצר]],טבלה24[כמות])</f>
        <v>0</v>
      </c>
      <c r="Z155" s="655">
        <f>SUMIF(טבלה628[קוד מוצר],טבלה38[[#This Row],[קוד מוצר]],טבלה628[תוספת])</f>
        <v>0</v>
      </c>
      <c r="AA155" s="610">
        <f>טבלה38[[#This Row],[פימת קפה]]*טבלה38[[#This Row],[מחיר ליח'' כולל ]]</f>
        <v>0</v>
      </c>
      <c r="AB155" s="610">
        <f>טבלה38[[#This Row],[פת שחרית]]*טבלה38[[#This Row],[מחיר ליח'' כולל ]]</f>
        <v>0</v>
      </c>
      <c r="AC155" s="610">
        <f>טבלה38[[#This Row],[א. בוקר פריסה]]*טבלה38[[#This Row],[מחיר ליח'' כולל ]]</f>
        <v>0</v>
      </c>
      <c r="AD155" s="666">
        <f>טבלה38[[#This Row],[א. צהררים פריסה ]]*טבלה38[[#This Row],[מחיר ליח'' כולל ]]</f>
        <v>0</v>
      </c>
      <c r="AE155" s="666">
        <f>טבלה38[[#This Row],[בוקר קיטים]]*טבלה38[[#This Row],[מחיר ליח'' כולל ]]</f>
        <v>0</v>
      </c>
      <c r="AF155" s="666">
        <f>טבלה38[[#This Row],[צהריים קיטים]]*טבלה38[[#This Row],[מחיר ליח'' כולל ]]</f>
        <v>0</v>
      </c>
      <c r="AG155" s="666">
        <f>טבלה38[[#This Row],[פריסת אמצע]]*טבלה38[[#This Row],[מחיר ליח'' כולל ]]</f>
        <v>0</v>
      </c>
      <c r="AH155" s="666">
        <f>טבלה38[[#This Row],[מרק]]*טבלה38[[#This Row],[מחיר ליח'' כולל ]]</f>
        <v>0</v>
      </c>
      <c r="AI155" s="666">
        <f>טבלה38[[#This Row],[ערב בישול 1]]*טבלה38[[#This Row],[מחיר ליח'' כולל ]]</f>
        <v>0</v>
      </c>
      <c r="AJ155" s="666">
        <f>טבלה38[[#This Row],[ערב בישול 2]]*טבלה38[[#This Row],[מחיר ליח'' כולל ]]</f>
        <v>0</v>
      </c>
      <c r="AK155" s="666">
        <f>טבלה38[[#This Row],[ערב בישול 3]]*טבלה38[[#This Row],[מחיר ליח'' כולל ]]</f>
        <v>0</v>
      </c>
      <c r="AL155" s="666">
        <f>טבלה38[[#This Row],[ערב קטן 1]]*טבלה38[[#This Row],[מחיר ליח'' כולל ]]</f>
        <v>0</v>
      </c>
      <c r="AM155" s="666">
        <f>טבלה38[[#This Row],[ערב קטן 2]]*טבלה38[[#This Row],[מחיר ליח'' כולל ]]</f>
        <v>0</v>
      </c>
      <c r="AN155" s="666">
        <f>טבלה38[[#This Row],[ערב קטן 3]]*טבלה38[[#This Row],[מחיר ליח'' כולל ]]</f>
        <v>0</v>
      </c>
      <c r="AO155" s="666">
        <f>טבלה38[[#This Row],[קיטים מיוחדים]]*טבלה38[[#This Row],[מחיר ליח'' כולל ]]</f>
        <v>0</v>
      </c>
      <c r="AP155" s="666">
        <f>טבלה38[[#This Row],[תוספות]]*טבלה38[[#This Row],[מחיר ליח'' כולל ]]</f>
        <v>0</v>
      </c>
    </row>
    <row r="156" spans="2:42" ht="14.4">
      <c r="B156" s="651">
        <v>7715</v>
      </c>
      <c r="C156" s="650" t="s">
        <v>1117</v>
      </c>
      <c r="D156" s="650" t="s">
        <v>602</v>
      </c>
      <c r="E156" s="650"/>
      <c r="F156" s="649" t="str">
        <f>IF(טבלה38[[#This Row],[סה"כ]]&gt;0,טבלה38[[#This Row],[סה"כ]],"")</f>
        <v/>
      </c>
      <c r="G156" s="656">
        <v>0.17</v>
      </c>
      <c r="H156" s="655">
        <f>טבלה38[[#This Row],[מחיר]]+טבלה38[[#This Row],[% מע"מ]]*טבלה38[[#This Row],[מחיר]]</f>
        <v>0</v>
      </c>
      <c r="I156" s="630">
        <f>טבלה38[[#This Row],[סה"כ]]*טבלה38[[#This Row],[מחיר ליח'' כולל ]]</f>
        <v>0</v>
      </c>
      <c r="J156" s="655">
        <f>SUM(טבלה38[[#This Row],[פימת קפה]:[תוספות]])</f>
        <v>0</v>
      </c>
      <c r="K156" s="655">
        <f>SUMIF(טבלה11517[מקט],טבלה38[[#This Row],[קוד מוצר]],טבלה11517[כמות])</f>
        <v>0</v>
      </c>
      <c r="L156" s="655">
        <f>SUMIF(טבלה115179[מקט],טבלה38[[#This Row],[קוד מוצר]],טבלה115179[כמות])</f>
        <v>0</v>
      </c>
      <c r="M156" s="655">
        <f>SUMIF(טבלה115[מקט],טבלה38[[#This Row],[קוד מוצר]],טבלה115[כמות])</f>
        <v>0</v>
      </c>
      <c r="N156" s="655">
        <f>SUMIF(טבלה1[מק"ט],טבלה38[[#This Row],[קוד מוצר]],טבלה1[כמות])</f>
        <v>0</v>
      </c>
      <c r="O156" s="655">
        <f>SUMIF(טבלה8[מק"ט],טבלה38[[#This Row],[קוד מוצר]],טבלה8[הזמנה])</f>
        <v>0</v>
      </c>
      <c r="P156" s="655">
        <f>SUMIF(טבלה15[מק"ט],טבלה38[[#This Row],[קוד מוצר]],טבלה15[הזמנה])</f>
        <v>0</v>
      </c>
      <c r="Q156" s="655">
        <f>SUMIF(טבלה1151718[מקט],טבלה38[[#This Row],[קוד מוצר]],טבלה1151718[כמות])</f>
        <v>0</v>
      </c>
      <c r="R156" s="655">
        <f>SUMIF(טבלה125[מקט],טבלה38[[#This Row],[קוד מוצר]],טבלה125[כמות])</f>
        <v>0</v>
      </c>
      <c r="S156" s="655">
        <f>SUMIF(טבלה33[מק"ט],טבלה38[[#This Row],[קוד מוצר]],טבלה33[הזמנה])</f>
        <v>0</v>
      </c>
      <c r="T156" s="655">
        <f>SUMIF(טבלה34[עמודה1],טבלה38[[#This Row],[קוד מוצר]],טבלה34[הזמנה])</f>
        <v>0</v>
      </c>
      <c r="U156" s="655">
        <f>SUMIF(טבלה35[עמודה1],טבלה38[[#This Row],[קוד מוצר]],טבלה35[הזמנה])</f>
        <v>0</v>
      </c>
      <c r="V156" s="655">
        <f>SUMIF(טבלה3338[מק"ט],טבלה38[[#This Row],[קוד מוצר]],טבלה3338[הזמנה])</f>
        <v>0</v>
      </c>
      <c r="W156" s="655">
        <f>SUMIF(טבלה3540[עמודה1],טבלה38[[#This Row],[קוד מוצר]],טבלה3540[הזמנה])</f>
        <v>0</v>
      </c>
      <c r="X156" s="655">
        <f>SUMIF(טבלה3441[עמודה1],טבלה38[[#This Row],[קוד מוצר]],טבלה3441[הזמנה])</f>
        <v>0</v>
      </c>
      <c r="Y156" s="655">
        <f>SUMIF(טבלה24[מקט],טבלה38[[#This Row],[קוד מוצר]],טבלה24[כמות])</f>
        <v>0</v>
      </c>
      <c r="Z156" s="655">
        <f>SUMIF(טבלה628[קוד מוצר],טבלה38[[#This Row],[קוד מוצר]],טבלה628[תוספת])</f>
        <v>0</v>
      </c>
      <c r="AA156" s="610">
        <f>טבלה38[[#This Row],[פימת קפה]]*טבלה38[[#This Row],[מחיר ליח'' כולל ]]</f>
        <v>0</v>
      </c>
      <c r="AB156" s="610">
        <f>טבלה38[[#This Row],[פת שחרית]]*טבלה38[[#This Row],[מחיר ליח'' כולל ]]</f>
        <v>0</v>
      </c>
      <c r="AC156" s="610">
        <f>טבלה38[[#This Row],[א. בוקר פריסה]]*טבלה38[[#This Row],[מחיר ליח'' כולל ]]</f>
        <v>0</v>
      </c>
      <c r="AD156" s="666">
        <f>טבלה38[[#This Row],[א. צהררים פריסה ]]*טבלה38[[#This Row],[מחיר ליח'' כולל ]]</f>
        <v>0</v>
      </c>
      <c r="AE156" s="666">
        <f>טבלה38[[#This Row],[בוקר קיטים]]*טבלה38[[#This Row],[מחיר ליח'' כולל ]]</f>
        <v>0</v>
      </c>
      <c r="AF156" s="666">
        <f>טבלה38[[#This Row],[צהריים קיטים]]*טבלה38[[#This Row],[מחיר ליח'' כולל ]]</f>
        <v>0</v>
      </c>
      <c r="AG156" s="666">
        <f>טבלה38[[#This Row],[פריסת אמצע]]*טבלה38[[#This Row],[מחיר ליח'' כולל ]]</f>
        <v>0</v>
      </c>
      <c r="AH156" s="666">
        <f>טבלה38[[#This Row],[מרק]]*טבלה38[[#This Row],[מחיר ליח'' כולל ]]</f>
        <v>0</v>
      </c>
      <c r="AI156" s="666">
        <f>טבלה38[[#This Row],[ערב בישול 1]]*טבלה38[[#This Row],[מחיר ליח'' כולל ]]</f>
        <v>0</v>
      </c>
      <c r="AJ156" s="666">
        <f>טבלה38[[#This Row],[ערב בישול 2]]*טבלה38[[#This Row],[מחיר ליח'' כולל ]]</f>
        <v>0</v>
      </c>
      <c r="AK156" s="666">
        <f>טבלה38[[#This Row],[ערב בישול 3]]*טבלה38[[#This Row],[מחיר ליח'' כולל ]]</f>
        <v>0</v>
      </c>
      <c r="AL156" s="666">
        <f>טבלה38[[#This Row],[ערב קטן 1]]*טבלה38[[#This Row],[מחיר ליח'' כולל ]]</f>
        <v>0</v>
      </c>
      <c r="AM156" s="666">
        <f>טבלה38[[#This Row],[ערב קטן 2]]*טבלה38[[#This Row],[מחיר ליח'' כולל ]]</f>
        <v>0</v>
      </c>
      <c r="AN156" s="666">
        <f>טבלה38[[#This Row],[ערב קטן 3]]*טבלה38[[#This Row],[מחיר ליח'' כולל ]]</f>
        <v>0</v>
      </c>
      <c r="AO156" s="666">
        <f>טבלה38[[#This Row],[קיטים מיוחדים]]*טבלה38[[#This Row],[מחיר ליח'' כולל ]]</f>
        <v>0</v>
      </c>
      <c r="AP156" s="666">
        <f>טבלה38[[#This Row],[תוספות]]*טבלה38[[#This Row],[מחיר ליח'' כולל ]]</f>
        <v>0</v>
      </c>
    </row>
    <row r="157" spans="2:42" ht="14.4">
      <c r="B157" s="651">
        <v>7819</v>
      </c>
      <c r="C157" s="650" t="s">
        <v>1085</v>
      </c>
      <c r="D157" s="650" t="s">
        <v>602</v>
      </c>
      <c r="E157" s="650"/>
      <c r="F157" s="649" t="str">
        <f>IF(טבלה38[[#This Row],[סה"כ]]&gt;0,טבלה38[[#This Row],[סה"כ]],"")</f>
        <v/>
      </c>
      <c r="G157" s="656">
        <v>0.17</v>
      </c>
      <c r="H157" s="655">
        <f>טבלה38[[#This Row],[מחיר]]+טבלה38[[#This Row],[% מע"מ]]*טבלה38[[#This Row],[מחיר]]</f>
        <v>0</v>
      </c>
      <c r="I157" s="630">
        <f>טבלה38[[#This Row],[סה"כ]]*טבלה38[[#This Row],[מחיר ליח'' כולל ]]</f>
        <v>0</v>
      </c>
      <c r="J157" s="655">
        <f>SUM(טבלה38[[#This Row],[פימת קפה]:[תוספות]])</f>
        <v>0</v>
      </c>
      <c r="K157" s="655">
        <f>SUMIF(טבלה11517[מקט],טבלה38[[#This Row],[קוד מוצר]],טבלה11517[כמות])</f>
        <v>0</v>
      </c>
      <c r="L157" s="655">
        <f>SUMIF(טבלה115179[מקט],טבלה38[[#This Row],[קוד מוצר]],טבלה115179[כמות])</f>
        <v>0</v>
      </c>
      <c r="M157" s="655">
        <f>SUMIF(טבלה115[מקט],טבלה38[[#This Row],[קוד מוצר]],טבלה115[כמות])</f>
        <v>0</v>
      </c>
      <c r="N157" s="655">
        <f>SUMIF(טבלה1[מק"ט],טבלה38[[#This Row],[קוד מוצר]],טבלה1[כמות])</f>
        <v>0</v>
      </c>
      <c r="O157" s="655">
        <f>SUMIF(טבלה8[מק"ט],טבלה38[[#This Row],[קוד מוצר]],טבלה8[הזמנה])</f>
        <v>0</v>
      </c>
      <c r="P157" s="655">
        <f>SUMIF(טבלה15[מק"ט],טבלה38[[#This Row],[קוד מוצר]],טבלה15[הזמנה])</f>
        <v>0</v>
      </c>
      <c r="Q157" s="655">
        <f>SUMIF(טבלה1151718[מקט],טבלה38[[#This Row],[קוד מוצר]],טבלה1151718[כמות])</f>
        <v>0</v>
      </c>
      <c r="R157" s="655">
        <f>SUMIF(טבלה125[מקט],טבלה38[[#This Row],[קוד מוצר]],טבלה125[כמות])</f>
        <v>0</v>
      </c>
      <c r="S157" s="655">
        <f>SUMIF(טבלה33[מק"ט],טבלה38[[#This Row],[קוד מוצר]],טבלה33[הזמנה])</f>
        <v>0</v>
      </c>
      <c r="T157" s="655">
        <f>SUMIF(טבלה34[עמודה1],טבלה38[[#This Row],[קוד מוצר]],טבלה34[הזמנה])</f>
        <v>0</v>
      </c>
      <c r="U157" s="655">
        <f>SUMIF(טבלה35[עמודה1],טבלה38[[#This Row],[קוד מוצר]],טבלה35[הזמנה])</f>
        <v>0</v>
      </c>
      <c r="V157" s="655">
        <f>SUMIF(טבלה3338[מק"ט],טבלה38[[#This Row],[קוד מוצר]],טבלה3338[הזמנה])</f>
        <v>0</v>
      </c>
      <c r="W157" s="655">
        <f>SUMIF(טבלה3540[עמודה1],טבלה38[[#This Row],[קוד מוצר]],טבלה3540[הזמנה])</f>
        <v>0</v>
      </c>
      <c r="X157" s="655">
        <f>SUMIF(טבלה3441[עמודה1],טבלה38[[#This Row],[קוד מוצר]],טבלה3441[הזמנה])</f>
        <v>0</v>
      </c>
      <c r="Y157" s="655">
        <f>SUMIF(טבלה24[מקט],טבלה38[[#This Row],[קוד מוצר]],טבלה24[כמות])</f>
        <v>0</v>
      </c>
      <c r="Z157" s="655">
        <f>SUMIF(טבלה628[קוד מוצר],טבלה38[[#This Row],[קוד מוצר]],טבלה628[תוספת])</f>
        <v>0</v>
      </c>
      <c r="AA157" s="610">
        <f>טבלה38[[#This Row],[פימת קפה]]*טבלה38[[#This Row],[מחיר ליח'' כולל ]]</f>
        <v>0</v>
      </c>
      <c r="AB157" s="610">
        <f>טבלה38[[#This Row],[פת שחרית]]*טבלה38[[#This Row],[מחיר ליח'' כולל ]]</f>
        <v>0</v>
      </c>
      <c r="AC157" s="610">
        <f>טבלה38[[#This Row],[א. בוקר פריסה]]*טבלה38[[#This Row],[מחיר ליח'' כולל ]]</f>
        <v>0</v>
      </c>
      <c r="AD157" s="666">
        <f>טבלה38[[#This Row],[א. צהררים פריסה ]]*טבלה38[[#This Row],[מחיר ליח'' כולל ]]</f>
        <v>0</v>
      </c>
      <c r="AE157" s="666">
        <f>טבלה38[[#This Row],[בוקר קיטים]]*טבלה38[[#This Row],[מחיר ליח'' כולל ]]</f>
        <v>0</v>
      </c>
      <c r="AF157" s="666">
        <f>טבלה38[[#This Row],[צהריים קיטים]]*טבלה38[[#This Row],[מחיר ליח'' כולל ]]</f>
        <v>0</v>
      </c>
      <c r="AG157" s="666">
        <f>טבלה38[[#This Row],[פריסת אמצע]]*טבלה38[[#This Row],[מחיר ליח'' כולל ]]</f>
        <v>0</v>
      </c>
      <c r="AH157" s="666">
        <f>טבלה38[[#This Row],[מרק]]*טבלה38[[#This Row],[מחיר ליח'' כולל ]]</f>
        <v>0</v>
      </c>
      <c r="AI157" s="666">
        <f>טבלה38[[#This Row],[ערב בישול 1]]*טבלה38[[#This Row],[מחיר ליח'' כולל ]]</f>
        <v>0</v>
      </c>
      <c r="AJ157" s="666">
        <f>טבלה38[[#This Row],[ערב בישול 2]]*טבלה38[[#This Row],[מחיר ליח'' כולל ]]</f>
        <v>0</v>
      </c>
      <c r="AK157" s="666">
        <f>טבלה38[[#This Row],[ערב בישול 3]]*טבלה38[[#This Row],[מחיר ליח'' כולל ]]</f>
        <v>0</v>
      </c>
      <c r="AL157" s="666">
        <f>טבלה38[[#This Row],[ערב קטן 1]]*טבלה38[[#This Row],[מחיר ליח'' כולל ]]</f>
        <v>0</v>
      </c>
      <c r="AM157" s="666">
        <f>טבלה38[[#This Row],[ערב קטן 2]]*טבלה38[[#This Row],[מחיר ליח'' כולל ]]</f>
        <v>0</v>
      </c>
      <c r="AN157" s="666">
        <f>טבלה38[[#This Row],[ערב קטן 3]]*טבלה38[[#This Row],[מחיר ליח'' כולל ]]</f>
        <v>0</v>
      </c>
      <c r="AO157" s="666">
        <f>טבלה38[[#This Row],[קיטים מיוחדים]]*טבלה38[[#This Row],[מחיר ליח'' כולל ]]</f>
        <v>0</v>
      </c>
      <c r="AP157" s="666">
        <f>טבלה38[[#This Row],[תוספות]]*טבלה38[[#This Row],[מחיר ליח'' כולל ]]</f>
        <v>0</v>
      </c>
    </row>
    <row r="158" spans="2:42" ht="14.4">
      <c r="B158" s="651">
        <v>7900</v>
      </c>
      <c r="C158" s="650" t="s">
        <v>1144</v>
      </c>
      <c r="D158" s="650" t="s">
        <v>8</v>
      </c>
      <c r="E158" s="650"/>
      <c r="F158" s="649" t="str">
        <f>IF(טבלה38[[#This Row],[סה"כ]]&gt;0,טבלה38[[#This Row],[סה"כ]],"")</f>
        <v/>
      </c>
      <c r="G158" s="656">
        <v>0.17</v>
      </c>
      <c r="H158" s="655">
        <f>טבלה38[[#This Row],[מחיר]]+טבלה38[[#This Row],[% מע"מ]]*טבלה38[[#This Row],[מחיר]]</f>
        <v>0</v>
      </c>
      <c r="I158" s="630">
        <f>טבלה38[[#This Row],[סה"כ]]*טבלה38[[#This Row],[מחיר ליח'' כולל ]]</f>
        <v>0</v>
      </c>
      <c r="J158" s="655">
        <f>SUM(טבלה38[[#This Row],[פימת קפה]:[תוספות]])</f>
        <v>0</v>
      </c>
      <c r="K158" s="655">
        <f>SUMIF(טבלה11517[מקט],טבלה38[[#This Row],[קוד מוצר]],טבלה11517[כמות])</f>
        <v>0</v>
      </c>
      <c r="L158" s="655">
        <f>SUMIF(טבלה115179[מקט],טבלה38[[#This Row],[קוד מוצר]],טבלה115179[כמות])</f>
        <v>0</v>
      </c>
      <c r="M158" s="655">
        <f>SUMIF(טבלה115[מקט],טבלה38[[#This Row],[קוד מוצר]],טבלה115[כמות])</f>
        <v>0</v>
      </c>
      <c r="N158" s="655">
        <f>SUMIF(טבלה1[מק"ט],טבלה38[[#This Row],[קוד מוצר]],טבלה1[כמות])</f>
        <v>0</v>
      </c>
      <c r="O158" s="655">
        <f>SUMIF(טבלה8[מק"ט],טבלה38[[#This Row],[קוד מוצר]],טבלה8[הזמנה])</f>
        <v>0</v>
      </c>
      <c r="P158" s="655">
        <f>SUMIF(טבלה15[מק"ט],טבלה38[[#This Row],[קוד מוצר]],טבלה15[הזמנה])</f>
        <v>0</v>
      </c>
      <c r="Q158" s="655">
        <f>SUMIF(טבלה1151718[מקט],טבלה38[[#This Row],[קוד מוצר]],טבלה1151718[כמות])</f>
        <v>0</v>
      </c>
      <c r="R158" s="655">
        <f>SUMIF(טבלה125[מקט],טבלה38[[#This Row],[קוד מוצר]],טבלה125[כמות])</f>
        <v>0</v>
      </c>
      <c r="S158" s="655">
        <f>SUMIF(טבלה33[מק"ט],טבלה38[[#This Row],[קוד מוצר]],טבלה33[הזמנה])</f>
        <v>0</v>
      </c>
      <c r="T158" s="655">
        <f>SUMIF(טבלה34[עמודה1],טבלה38[[#This Row],[קוד מוצר]],טבלה34[הזמנה])</f>
        <v>0</v>
      </c>
      <c r="U158" s="655">
        <f>SUMIF(טבלה35[עמודה1],טבלה38[[#This Row],[קוד מוצר]],טבלה35[הזמנה])</f>
        <v>0</v>
      </c>
      <c r="V158" s="655">
        <f>SUMIF(טבלה3338[מק"ט],טבלה38[[#This Row],[קוד מוצר]],טבלה3338[הזמנה])</f>
        <v>0</v>
      </c>
      <c r="W158" s="655">
        <f>SUMIF(טבלה3540[עמודה1],טבלה38[[#This Row],[קוד מוצר]],טבלה3540[הזמנה])</f>
        <v>0</v>
      </c>
      <c r="X158" s="655">
        <f>SUMIF(טבלה3441[עמודה1],טבלה38[[#This Row],[קוד מוצר]],טבלה3441[הזמנה])</f>
        <v>0</v>
      </c>
      <c r="Y158" s="655">
        <f>SUMIF(טבלה24[מקט],טבלה38[[#This Row],[קוד מוצר]],טבלה24[כמות])</f>
        <v>0</v>
      </c>
      <c r="Z158" s="655">
        <f>SUMIF(טבלה628[קוד מוצר],טבלה38[[#This Row],[קוד מוצר]],טבלה628[תוספת])</f>
        <v>0</v>
      </c>
      <c r="AA158" s="610">
        <f>טבלה38[[#This Row],[פימת קפה]]*טבלה38[[#This Row],[מחיר ליח'' כולל ]]</f>
        <v>0</v>
      </c>
      <c r="AB158" s="610">
        <f>טבלה38[[#This Row],[פת שחרית]]*טבלה38[[#This Row],[מחיר ליח'' כולל ]]</f>
        <v>0</v>
      </c>
      <c r="AC158" s="610">
        <f>טבלה38[[#This Row],[א. בוקר פריסה]]*טבלה38[[#This Row],[מחיר ליח'' כולל ]]</f>
        <v>0</v>
      </c>
      <c r="AD158" s="666">
        <f>טבלה38[[#This Row],[א. צהררים פריסה ]]*טבלה38[[#This Row],[מחיר ליח'' כולל ]]</f>
        <v>0</v>
      </c>
      <c r="AE158" s="666">
        <f>טבלה38[[#This Row],[בוקר קיטים]]*טבלה38[[#This Row],[מחיר ליח'' כולל ]]</f>
        <v>0</v>
      </c>
      <c r="AF158" s="666">
        <f>טבלה38[[#This Row],[צהריים קיטים]]*טבלה38[[#This Row],[מחיר ליח'' כולל ]]</f>
        <v>0</v>
      </c>
      <c r="AG158" s="666">
        <f>טבלה38[[#This Row],[פריסת אמצע]]*טבלה38[[#This Row],[מחיר ליח'' כולל ]]</f>
        <v>0</v>
      </c>
      <c r="AH158" s="666">
        <f>טבלה38[[#This Row],[מרק]]*טבלה38[[#This Row],[מחיר ליח'' כולל ]]</f>
        <v>0</v>
      </c>
      <c r="AI158" s="666">
        <f>טבלה38[[#This Row],[ערב בישול 1]]*טבלה38[[#This Row],[מחיר ליח'' כולל ]]</f>
        <v>0</v>
      </c>
      <c r="AJ158" s="666">
        <f>טבלה38[[#This Row],[ערב בישול 2]]*טבלה38[[#This Row],[מחיר ליח'' כולל ]]</f>
        <v>0</v>
      </c>
      <c r="AK158" s="666">
        <f>טבלה38[[#This Row],[ערב בישול 3]]*טבלה38[[#This Row],[מחיר ליח'' כולל ]]</f>
        <v>0</v>
      </c>
      <c r="AL158" s="666">
        <f>טבלה38[[#This Row],[ערב קטן 1]]*טבלה38[[#This Row],[מחיר ליח'' כולל ]]</f>
        <v>0</v>
      </c>
      <c r="AM158" s="666">
        <f>טבלה38[[#This Row],[ערב קטן 2]]*טבלה38[[#This Row],[מחיר ליח'' כולל ]]</f>
        <v>0</v>
      </c>
      <c r="AN158" s="666">
        <f>טבלה38[[#This Row],[ערב קטן 3]]*טבלה38[[#This Row],[מחיר ליח'' כולל ]]</f>
        <v>0</v>
      </c>
      <c r="AO158" s="666">
        <f>טבלה38[[#This Row],[קיטים מיוחדים]]*טבלה38[[#This Row],[מחיר ליח'' כולל ]]</f>
        <v>0</v>
      </c>
      <c r="AP158" s="666">
        <f>טבלה38[[#This Row],[תוספות]]*טבלה38[[#This Row],[מחיר ליח'' כולל ]]</f>
        <v>0</v>
      </c>
    </row>
    <row r="159" spans="2:42" ht="21">
      <c r="B159" s="651">
        <v>7968</v>
      </c>
      <c r="C159" s="650" t="s">
        <v>1071</v>
      </c>
      <c r="D159" s="650" t="s">
        <v>602</v>
      </c>
      <c r="E159" s="650"/>
      <c r="F159" s="653" t="str">
        <f>IF(טבלה38[[#This Row],[סה"כ]]&gt;0,טבלה38[[#This Row],[סה"כ]],"")</f>
        <v/>
      </c>
      <c r="G159" s="656">
        <v>0.17</v>
      </c>
      <c r="H159" s="655">
        <f>טבלה38[[#This Row],[מחיר]]+טבלה38[[#This Row],[% מע"מ]]*טבלה38[[#This Row],[מחיר]]</f>
        <v>0</v>
      </c>
      <c r="I159" s="630">
        <f>טבלה38[[#This Row],[סה"כ]]*טבלה38[[#This Row],[מחיר ליח'' כולל ]]</f>
        <v>0</v>
      </c>
      <c r="J159" s="655">
        <f>SUM(טבלה38[[#This Row],[פימת קפה]:[תוספות]])</f>
        <v>0</v>
      </c>
      <c r="K159" s="655">
        <f>SUMIF(טבלה11517[מקט],טבלה38[[#This Row],[קוד מוצר]],טבלה11517[כמות])</f>
        <v>0</v>
      </c>
      <c r="L159" s="655">
        <f>SUMIF(טבלה115179[מקט],טבלה38[[#This Row],[קוד מוצר]],טבלה115179[כמות])</f>
        <v>0</v>
      </c>
      <c r="M159" s="655">
        <f>SUMIF(טבלה115[מקט],טבלה38[[#This Row],[קוד מוצר]],טבלה115[כמות])</f>
        <v>0</v>
      </c>
      <c r="N159" s="655">
        <f>SUMIF(טבלה1[מק"ט],טבלה38[[#This Row],[קוד מוצר]],טבלה1[כמות])</f>
        <v>0</v>
      </c>
      <c r="O159" s="655">
        <f>SUMIF(טבלה8[מק"ט],טבלה38[[#This Row],[קוד מוצר]],טבלה8[הזמנה])</f>
        <v>0</v>
      </c>
      <c r="P159" s="655">
        <f>SUMIF(טבלה15[מק"ט],טבלה38[[#This Row],[קוד מוצר]],טבלה15[הזמנה])</f>
        <v>0</v>
      </c>
      <c r="Q159" s="655">
        <f>SUMIF(טבלה1151718[מקט],טבלה38[[#This Row],[קוד מוצר]],טבלה1151718[כמות])</f>
        <v>0</v>
      </c>
      <c r="R159" s="655">
        <f>SUMIF(טבלה125[מקט],טבלה38[[#This Row],[קוד מוצר]],טבלה125[כמות])</f>
        <v>0</v>
      </c>
      <c r="S159" s="655">
        <f>SUMIF(טבלה33[מק"ט],טבלה38[[#This Row],[קוד מוצר]],טבלה33[הזמנה])</f>
        <v>0</v>
      </c>
      <c r="T159" s="655">
        <f>SUMIF(טבלה34[עמודה1],טבלה38[[#This Row],[קוד מוצר]],טבלה34[הזמנה])</f>
        <v>0</v>
      </c>
      <c r="U159" s="655">
        <f>SUMIF(טבלה35[עמודה1],טבלה38[[#This Row],[קוד מוצר]],טבלה35[הזמנה])</f>
        <v>0</v>
      </c>
      <c r="V159" s="655">
        <f>SUMIF(טבלה3338[מק"ט],טבלה38[[#This Row],[קוד מוצר]],טבלה3338[הזמנה])</f>
        <v>0</v>
      </c>
      <c r="W159" s="655">
        <f>SUMIF(טבלה3540[עמודה1],טבלה38[[#This Row],[קוד מוצר]],טבלה3540[הזמנה])</f>
        <v>0</v>
      </c>
      <c r="X159" s="655">
        <f>SUMIF(טבלה3441[עמודה1],טבלה38[[#This Row],[קוד מוצר]],טבלה3441[הזמנה])</f>
        <v>0</v>
      </c>
      <c r="Y159" s="655">
        <f>SUMIF(טבלה24[מקט],טבלה38[[#This Row],[קוד מוצר]],טבלה24[כמות])</f>
        <v>0</v>
      </c>
      <c r="Z159" s="655">
        <f>SUMIF(טבלה628[קוד מוצר],טבלה38[[#This Row],[קוד מוצר]],טבלה628[תוספת])</f>
        <v>0</v>
      </c>
      <c r="AA159" s="610">
        <f>טבלה38[[#This Row],[פימת קפה]]*טבלה38[[#This Row],[מחיר ליח'' כולל ]]</f>
        <v>0</v>
      </c>
      <c r="AB159" s="610">
        <f>טבלה38[[#This Row],[פת שחרית]]*טבלה38[[#This Row],[מחיר ליח'' כולל ]]</f>
        <v>0</v>
      </c>
      <c r="AC159" s="610">
        <f>טבלה38[[#This Row],[א. בוקר פריסה]]*טבלה38[[#This Row],[מחיר ליח'' כולל ]]</f>
        <v>0</v>
      </c>
      <c r="AD159" s="666">
        <f>טבלה38[[#This Row],[א. צהררים פריסה ]]*טבלה38[[#This Row],[מחיר ליח'' כולל ]]</f>
        <v>0</v>
      </c>
      <c r="AE159" s="666">
        <f>טבלה38[[#This Row],[בוקר קיטים]]*טבלה38[[#This Row],[מחיר ליח'' כולל ]]</f>
        <v>0</v>
      </c>
      <c r="AF159" s="666">
        <f>טבלה38[[#This Row],[צהריים קיטים]]*טבלה38[[#This Row],[מחיר ליח'' כולל ]]</f>
        <v>0</v>
      </c>
      <c r="AG159" s="666">
        <f>טבלה38[[#This Row],[פריסת אמצע]]*טבלה38[[#This Row],[מחיר ליח'' כולל ]]</f>
        <v>0</v>
      </c>
      <c r="AH159" s="666">
        <f>טבלה38[[#This Row],[מרק]]*טבלה38[[#This Row],[מחיר ליח'' כולל ]]</f>
        <v>0</v>
      </c>
      <c r="AI159" s="666">
        <f>טבלה38[[#This Row],[ערב בישול 1]]*טבלה38[[#This Row],[מחיר ליח'' כולל ]]</f>
        <v>0</v>
      </c>
      <c r="AJ159" s="666">
        <f>טבלה38[[#This Row],[ערב בישול 2]]*טבלה38[[#This Row],[מחיר ליח'' כולל ]]</f>
        <v>0</v>
      </c>
      <c r="AK159" s="666">
        <f>טבלה38[[#This Row],[ערב בישול 3]]*טבלה38[[#This Row],[מחיר ליח'' כולל ]]</f>
        <v>0</v>
      </c>
      <c r="AL159" s="666">
        <f>טבלה38[[#This Row],[ערב קטן 1]]*טבלה38[[#This Row],[מחיר ליח'' כולל ]]</f>
        <v>0</v>
      </c>
      <c r="AM159" s="666">
        <f>טבלה38[[#This Row],[ערב קטן 2]]*טבלה38[[#This Row],[מחיר ליח'' כולל ]]</f>
        <v>0</v>
      </c>
      <c r="AN159" s="666">
        <f>טבלה38[[#This Row],[ערב קטן 3]]*טבלה38[[#This Row],[מחיר ליח'' כולל ]]</f>
        <v>0</v>
      </c>
      <c r="AO159" s="666">
        <f>טבלה38[[#This Row],[קיטים מיוחדים]]*טבלה38[[#This Row],[מחיר ליח'' כולל ]]</f>
        <v>0</v>
      </c>
      <c r="AP159" s="666">
        <f>טבלה38[[#This Row],[תוספות]]*טבלה38[[#This Row],[מחיר ליח'' כולל ]]</f>
        <v>0</v>
      </c>
    </row>
    <row r="160" spans="2:42" ht="14.4">
      <c r="B160" s="651">
        <v>8061</v>
      </c>
      <c r="C160" s="650" t="s">
        <v>945</v>
      </c>
      <c r="D160" s="650" t="s">
        <v>602</v>
      </c>
      <c r="E160" s="650"/>
      <c r="F160" s="649" t="str">
        <f>IF(טבלה38[[#This Row],[סה"כ]]&gt;0,טבלה38[[#This Row],[סה"כ]],"")</f>
        <v/>
      </c>
      <c r="G160" s="656">
        <v>0.17</v>
      </c>
      <c r="H160" s="655">
        <f>טבלה38[[#This Row],[מחיר]]+טבלה38[[#This Row],[% מע"מ]]*טבלה38[[#This Row],[מחיר]]</f>
        <v>0</v>
      </c>
      <c r="I160" s="630">
        <f>טבלה38[[#This Row],[סה"כ]]*טבלה38[[#This Row],[מחיר ליח'' כולל ]]</f>
        <v>0</v>
      </c>
      <c r="J160" s="655">
        <f>SUM(טבלה38[[#This Row],[פימת קפה]:[תוספות]])</f>
        <v>0</v>
      </c>
      <c r="K160" s="655">
        <f>SUMIF(טבלה11517[מקט],טבלה38[[#This Row],[קוד מוצר]],טבלה11517[כמות])</f>
        <v>0</v>
      </c>
      <c r="L160" s="655">
        <f>SUMIF(טבלה115179[מקט],טבלה38[[#This Row],[קוד מוצר]],טבלה115179[כמות])</f>
        <v>0</v>
      </c>
      <c r="M160" s="655">
        <f>SUMIF(טבלה115[מקט],טבלה38[[#This Row],[קוד מוצר]],טבלה115[כמות])</f>
        <v>0</v>
      </c>
      <c r="N160" s="655">
        <f>SUMIF(טבלה1[מק"ט],טבלה38[[#This Row],[קוד מוצר]],טבלה1[כמות])</f>
        <v>0</v>
      </c>
      <c r="O160" s="655">
        <f>SUMIF(טבלה8[מק"ט],טבלה38[[#This Row],[קוד מוצר]],טבלה8[הזמנה])</f>
        <v>0</v>
      </c>
      <c r="P160" s="655">
        <f>SUMIF(טבלה15[מק"ט],טבלה38[[#This Row],[קוד מוצר]],טבלה15[הזמנה])</f>
        <v>0</v>
      </c>
      <c r="Q160" s="655">
        <f>SUMIF(טבלה1151718[מקט],טבלה38[[#This Row],[קוד מוצר]],טבלה1151718[כמות])</f>
        <v>0</v>
      </c>
      <c r="R160" s="655">
        <f>SUMIF(טבלה125[מקט],טבלה38[[#This Row],[קוד מוצר]],טבלה125[כמות])</f>
        <v>0</v>
      </c>
      <c r="S160" s="655">
        <f>SUMIF(טבלה33[מק"ט],טבלה38[[#This Row],[קוד מוצר]],טבלה33[הזמנה])</f>
        <v>0</v>
      </c>
      <c r="T160" s="655">
        <f>SUMIF(טבלה34[עמודה1],טבלה38[[#This Row],[קוד מוצר]],טבלה34[הזמנה])</f>
        <v>0</v>
      </c>
      <c r="U160" s="655">
        <f>SUMIF(טבלה35[עמודה1],טבלה38[[#This Row],[קוד מוצר]],טבלה35[הזמנה])</f>
        <v>0</v>
      </c>
      <c r="V160" s="655">
        <f>SUMIF(טבלה3338[מק"ט],טבלה38[[#This Row],[קוד מוצר]],טבלה3338[הזמנה])</f>
        <v>0</v>
      </c>
      <c r="W160" s="655">
        <f>SUMIF(טבלה3540[עמודה1],טבלה38[[#This Row],[קוד מוצר]],טבלה3540[הזמנה])</f>
        <v>0</v>
      </c>
      <c r="X160" s="655">
        <f>SUMIF(טבלה3441[עמודה1],טבלה38[[#This Row],[קוד מוצר]],טבלה3441[הזמנה])</f>
        <v>0</v>
      </c>
      <c r="Y160" s="655">
        <f>SUMIF(טבלה24[מקט],טבלה38[[#This Row],[קוד מוצר]],טבלה24[כמות])</f>
        <v>0</v>
      </c>
      <c r="Z160" s="655">
        <f>SUMIF(טבלה628[קוד מוצר],טבלה38[[#This Row],[קוד מוצר]],טבלה628[תוספת])</f>
        <v>0</v>
      </c>
      <c r="AA160" s="610">
        <f>טבלה38[[#This Row],[פימת קפה]]*טבלה38[[#This Row],[מחיר ליח'' כולל ]]</f>
        <v>0</v>
      </c>
      <c r="AB160" s="610">
        <f>טבלה38[[#This Row],[פת שחרית]]*טבלה38[[#This Row],[מחיר ליח'' כולל ]]</f>
        <v>0</v>
      </c>
      <c r="AC160" s="610">
        <f>טבלה38[[#This Row],[א. בוקר פריסה]]*טבלה38[[#This Row],[מחיר ליח'' כולל ]]</f>
        <v>0</v>
      </c>
      <c r="AD160" s="666">
        <f>טבלה38[[#This Row],[א. צהררים פריסה ]]*טבלה38[[#This Row],[מחיר ליח'' כולל ]]</f>
        <v>0</v>
      </c>
      <c r="AE160" s="666">
        <f>טבלה38[[#This Row],[בוקר קיטים]]*טבלה38[[#This Row],[מחיר ליח'' כולל ]]</f>
        <v>0</v>
      </c>
      <c r="AF160" s="666">
        <f>טבלה38[[#This Row],[צהריים קיטים]]*טבלה38[[#This Row],[מחיר ליח'' כולל ]]</f>
        <v>0</v>
      </c>
      <c r="AG160" s="666">
        <f>טבלה38[[#This Row],[פריסת אמצע]]*טבלה38[[#This Row],[מחיר ליח'' כולל ]]</f>
        <v>0</v>
      </c>
      <c r="AH160" s="666">
        <f>טבלה38[[#This Row],[מרק]]*טבלה38[[#This Row],[מחיר ליח'' כולל ]]</f>
        <v>0</v>
      </c>
      <c r="AI160" s="666">
        <f>טבלה38[[#This Row],[ערב בישול 1]]*טבלה38[[#This Row],[מחיר ליח'' כולל ]]</f>
        <v>0</v>
      </c>
      <c r="AJ160" s="666">
        <f>טבלה38[[#This Row],[ערב בישול 2]]*טבלה38[[#This Row],[מחיר ליח'' כולל ]]</f>
        <v>0</v>
      </c>
      <c r="AK160" s="666">
        <f>טבלה38[[#This Row],[ערב בישול 3]]*טבלה38[[#This Row],[מחיר ליח'' כולל ]]</f>
        <v>0</v>
      </c>
      <c r="AL160" s="666">
        <f>טבלה38[[#This Row],[ערב קטן 1]]*טבלה38[[#This Row],[מחיר ליח'' כולל ]]</f>
        <v>0</v>
      </c>
      <c r="AM160" s="666">
        <f>טבלה38[[#This Row],[ערב קטן 2]]*טבלה38[[#This Row],[מחיר ליח'' כולל ]]</f>
        <v>0</v>
      </c>
      <c r="AN160" s="666">
        <f>טבלה38[[#This Row],[ערב קטן 3]]*טבלה38[[#This Row],[מחיר ליח'' כולל ]]</f>
        <v>0</v>
      </c>
      <c r="AO160" s="666">
        <f>טבלה38[[#This Row],[קיטים מיוחדים]]*טבלה38[[#This Row],[מחיר ליח'' כולל ]]</f>
        <v>0</v>
      </c>
      <c r="AP160" s="666">
        <f>טבלה38[[#This Row],[תוספות]]*טבלה38[[#This Row],[מחיר ליח'' כולל ]]</f>
        <v>0</v>
      </c>
    </row>
    <row r="161" spans="2:42" ht="14.4">
      <c r="B161" s="651">
        <v>8145</v>
      </c>
      <c r="C161" s="650" t="s">
        <v>1092</v>
      </c>
      <c r="E161" s="650"/>
      <c r="F161" s="649" t="str">
        <f>IF(טבלה38[[#This Row],[סה"כ]]&gt;0,טבלה38[[#This Row],[סה"כ]],"")</f>
        <v/>
      </c>
      <c r="G161" s="656">
        <v>0.17</v>
      </c>
      <c r="H161" s="655">
        <f>טבלה38[[#This Row],[מחיר]]+טבלה38[[#This Row],[% מע"מ]]*טבלה38[[#This Row],[מחיר]]</f>
        <v>0</v>
      </c>
      <c r="I161" s="630">
        <f>טבלה38[[#This Row],[סה"כ]]*טבלה38[[#This Row],[מחיר ליח'' כולל ]]</f>
        <v>0</v>
      </c>
      <c r="J161" s="655">
        <f>SUM(טבלה38[[#This Row],[פימת קפה]:[תוספות]])</f>
        <v>0</v>
      </c>
      <c r="K161" s="655">
        <f>SUMIF(טבלה11517[מקט],טבלה38[[#This Row],[קוד מוצר]],טבלה11517[כמות])</f>
        <v>0</v>
      </c>
      <c r="L161" s="655">
        <f>SUMIF(טבלה115179[מקט],טבלה38[[#This Row],[קוד מוצר]],טבלה115179[כמות])</f>
        <v>0</v>
      </c>
      <c r="M161" s="655">
        <f>SUMIF(טבלה115[מקט],טבלה38[[#This Row],[קוד מוצר]],טבלה115[כמות])</f>
        <v>0</v>
      </c>
      <c r="N161" s="655">
        <f>SUMIF(טבלה1[מק"ט],טבלה38[[#This Row],[קוד מוצר]],טבלה1[כמות])</f>
        <v>0</v>
      </c>
      <c r="O161" s="655">
        <f>SUMIF(טבלה8[מק"ט],טבלה38[[#This Row],[קוד מוצר]],טבלה8[הזמנה])</f>
        <v>0</v>
      </c>
      <c r="P161" s="655">
        <f>SUMIF(טבלה15[מק"ט],טבלה38[[#This Row],[קוד מוצר]],טבלה15[הזמנה])</f>
        <v>0</v>
      </c>
      <c r="Q161" s="655">
        <f>SUMIF(טבלה1151718[מקט],טבלה38[[#This Row],[קוד מוצר]],טבלה1151718[כמות])</f>
        <v>0</v>
      </c>
      <c r="R161" s="655">
        <f>SUMIF(טבלה125[מקט],טבלה38[[#This Row],[קוד מוצר]],טבלה125[כמות])</f>
        <v>0</v>
      </c>
      <c r="S161" s="655">
        <f>SUMIF(טבלה33[מק"ט],טבלה38[[#This Row],[קוד מוצר]],טבלה33[הזמנה])</f>
        <v>0</v>
      </c>
      <c r="T161" s="655">
        <f>SUMIF(טבלה34[עמודה1],טבלה38[[#This Row],[קוד מוצר]],טבלה34[הזמנה])</f>
        <v>0</v>
      </c>
      <c r="U161" s="655">
        <f>SUMIF(טבלה35[עמודה1],טבלה38[[#This Row],[קוד מוצר]],טבלה35[הזמנה])</f>
        <v>0</v>
      </c>
      <c r="V161" s="655">
        <f>SUMIF(טבלה3338[מק"ט],טבלה38[[#This Row],[קוד מוצר]],טבלה3338[הזמנה])</f>
        <v>0</v>
      </c>
      <c r="W161" s="655">
        <f>SUMIF(טבלה3540[עמודה1],טבלה38[[#This Row],[קוד מוצר]],טבלה3540[הזמנה])</f>
        <v>0</v>
      </c>
      <c r="X161" s="655">
        <f>SUMIF(טבלה3441[עמודה1],טבלה38[[#This Row],[קוד מוצר]],טבלה3441[הזמנה])</f>
        <v>0</v>
      </c>
      <c r="Y161" s="655">
        <f>SUMIF(טבלה24[מקט],טבלה38[[#This Row],[קוד מוצר]],טבלה24[כמות])</f>
        <v>0</v>
      </c>
      <c r="Z161" s="655">
        <f>SUMIF(טבלה628[קוד מוצר],טבלה38[[#This Row],[קוד מוצר]],טבלה628[תוספת])</f>
        <v>0</v>
      </c>
      <c r="AA161" s="610">
        <f>טבלה38[[#This Row],[פימת קפה]]*טבלה38[[#This Row],[מחיר ליח'' כולל ]]</f>
        <v>0</v>
      </c>
      <c r="AB161" s="610">
        <f>טבלה38[[#This Row],[פת שחרית]]*טבלה38[[#This Row],[מחיר ליח'' כולל ]]</f>
        <v>0</v>
      </c>
      <c r="AC161" s="610">
        <f>טבלה38[[#This Row],[א. בוקר פריסה]]*טבלה38[[#This Row],[מחיר ליח'' כולל ]]</f>
        <v>0</v>
      </c>
      <c r="AD161" s="666">
        <f>טבלה38[[#This Row],[א. צהררים פריסה ]]*טבלה38[[#This Row],[מחיר ליח'' כולל ]]</f>
        <v>0</v>
      </c>
      <c r="AE161" s="666">
        <f>טבלה38[[#This Row],[בוקר קיטים]]*טבלה38[[#This Row],[מחיר ליח'' כולל ]]</f>
        <v>0</v>
      </c>
      <c r="AF161" s="666">
        <f>טבלה38[[#This Row],[צהריים קיטים]]*טבלה38[[#This Row],[מחיר ליח'' כולל ]]</f>
        <v>0</v>
      </c>
      <c r="AG161" s="666">
        <f>טבלה38[[#This Row],[פריסת אמצע]]*טבלה38[[#This Row],[מחיר ליח'' כולל ]]</f>
        <v>0</v>
      </c>
      <c r="AH161" s="666">
        <f>טבלה38[[#This Row],[מרק]]*טבלה38[[#This Row],[מחיר ליח'' כולל ]]</f>
        <v>0</v>
      </c>
      <c r="AI161" s="666">
        <f>טבלה38[[#This Row],[ערב בישול 1]]*טבלה38[[#This Row],[מחיר ליח'' כולל ]]</f>
        <v>0</v>
      </c>
      <c r="AJ161" s="666">
        <f>טבלה38[[#This Row],[ערב בישול 2]]*טבלה38[[#This Row],[מחיר ליח'' כולל ]]</f>
        <v>0</v>
      </c>
      <c r="AK161" s="666">
        <f>טבלה38[[#This Row],[ערב בישול 3]]*טבלה38[[#This Row],[מחיר ליח'' כולל ]]</f>
        <v>0</v>
      </c>
      <c r="AL161" s="666">
        <f>טבלה38[[#This Row],[ערב קטן 1]]*טבלה38[[#This Row],[מחיר ליח'' כולל ]]</f>
        <v>0</v>
      </c>
      <c r="AM161" s="666">
        <f>טבלה38[[#This Row],[ערב קטן 2]]*טבלה38[[#This Row],[מחיר ליח'' כולל ]]</f>
        <v>0</v>
      </c>
      <c r="AN161" s="666">
        <f>טבלה38[[#This Row],[ערב קטן 3]]*טבלה38[[#This Row],[מחיר ליח'' כולל ]]</f>
        <v>0</v>
      </c>
      <c r="AO161" s="666">
        <f>טבלה38[[#This Row],[קיטים מיוחדים]]*טבלה38[[#This Row],[מחיר ליח'' כולל ]]</f>
        <v>0</v>
      </c>
      <c r="AP161" s="666">
        <f>טבלה38[[#This Row],[תוספות]]*טבלה38[[#This Row],[מחיר ליח'' כולל ]]</f>
        <v>0</v>
      </c>
    </row>
    <row r="162" spans="2:42" ht="14.4">
      <c r="B162" s="651">
        <v>8150</v>
      </c>
      <c r="C162" s="650" t="s">
        <v>1046</v>
      </c>
      <c r="E162" s="650"/>
      <c r="F162" s="649" t="str">
        <f>IF(טבלה38[[#This Row],[סה"כ]]&gt;0,טבלה38[[#This Row],[סה"כ]],"")</f>
        <v/>
      </c>
      <c r="G162" s="656">
        <v>0.17</v>
      </c>
      <c r="H162" s="655">
        <f>טבלה38[[#This Row],[מחיר]]+טבלה38[[#This Row],[% מע"מ]]*טבלה38[[#This Row],[מחיר]]</f>
        <v>0</v>
      </c>
      <c r="I162" s="630">
        <f>טבלה38[[#This Row],[סה"כ]]*טבלה38[[#This Row],[מחיר ליח'' כולל ]]</f>
        <v>0</v>
      </c>
      <c r="J162" s="655">
        <f>SUM(טבלה38[[#This Row],[פימת קפה]:[תוספות]])</f>
        <v>0</v>
      </c>
      <c r="K162" s="655">
        <f>SUMIF(טבלה11517[מקט],טבלה38[[#This Row],[קוד מוצר]],טבלה11517[כמות])</f>
        <v>0</v>
      </c>
      <c r="L162" s="655">
        <f>SUMIF(טבלה115179[מקט],טבלה38[[#This Row],[קוד מוצר]],טבלה115179[כמות])</f>
        <v>0</v>
      </c>
      <c r="M162" s="655">
        <f>SUMIF(טבלה115[מקט],טבלה38[[#This Row],[קוד מוצר]],טבלה115[כמות])</f>
        <v>0</v>
      </c>
      <c r="N162" s="655">
        <f>SUMIF(טבלה1[מק"ט],טבלה38[[#This Row],[קוד מוצר]],טבלה1[כמות])</f>
        <v>0</v>
      </c>
      <c r="O162" s="655">
        <f>SUMIF(טבלה8[מק"ט],טבלה38[[#This Row],[קוד מוצר]],טבלה8[הזמנה])</f>
        <v>0</v>
      </c>
      <c r="P162" s="655">
        <f>SUMIF(טבלה15[מק"ט],טבלה38[[#This Row],[קוד מוצר]],טבלה15[הזמנה])</f>
        <v>0</v>
      </c>
      <c r="Q162" s="655">
        <f>SUMIF(טבלה1151718[מקט],טבלה38[[#This Row],[קוד מוצר]],טבלה1151718[כמות])</f>
        <v>0</v>
      </c>
      <c r="R162" s="655">
        <f>SUMIF(טבלה125[מקט],טבלה38[[#This Row],[קוד מוצר]],טבלה125[כמות])</f>
        <v>0</v>
      </c>
      <c r="S162" s="655">
        <f>SUMIF(טבלה33[מק"ט],טבלה38[[#This Row],[קוד מוצר]],טבלה33[הזמנה])</f>
        <v>0</v>
      </c>
      <c r="T162" s="655">
        <f>SUMIF(טבלה34[עמודה1],טבלה38[[#This Row],[קוד מוצר]],טבלה34[הזמנה])</f>
        <v>0</v>
      </c>
      <c r="U162" s="655">
        <f>SUMIF(טבלה35[עמודה1],טבלה38[[#This Row],[קוד מוצר]],טבלה35[הזמנה])</f>
        <v>0</v>
      </c>
      <c r="V162" s="655">
        <f>SUMIF(טבלה3338[מק"ט],טבלה38[[#This Row],[קוד מוצר]],טבלה3338[הזמנה])</f>
        <v>0</v>
      </c>
      <c r="W162" s="655">
        <f>SUMIF(טבלה3540[עמודה1],טבלה38[[#This Row],[קוד מוצר]],טבלה3540[הזמנה])</f>
        <v>0</v>
      </c>
      <c r="X162" s="655">
        <f>SUMIF(טבלה3441[עמודה1],טבלה38[[#This Row],[קוד מוצר]],טבלה3441[הזמנה])</f>
        <v>0</v>
      </c>
      <c r="Y162" s="655">
        <f>SUMIF(טבלה24[מקט],טבלה38[[#This Row],[קוד מוצר]],טבלה24[כמות])</f>
        <v>0</v>
      </c>
      <c r="Z162" s="655">
        <f>SUMIF(טבלה628[קוד מוצר],טבלה38[[#This Row],[קוד מוצר]],טבלה628[תוספת])</f>
        <v>0</v>
      </c>
      <c r="AA162" s="610">
        <f>טבלה38[[#This Row],[פימת קפה]]*טבלה38[[#This Row],[מחיר ליח'' כולל ]]</f>
        <v>0</v>
      </c>
      <c r="AB162" s="610">
        <f>טבלה38[[#This Row],[פת שחרית]]*טבלה38[[#This Row],[מחיר ליח'' כולל ]]</f>
        <v>0</v>
      </c>
      <c r="AC162" s="610">
        <f>טבלה38[[#This Row],[א. בוקר פריסה]]*טבלה38[[#This Row],[מחיר ליח'' כולל ]]</f>
        <v>0</v>
      </c>
      <c r="AD162" s="666">
        <f>טבלה38[[#This Row],[א. צהררים פריסה ]]*טבלה38[[#This Row],[מחיר ליח'' כולל ]]</f>
        <v>0</v>
      </c>
      <c r="AE162" s="666">
        <f>טבלה38[[#This Row],[בוקר קיטים]]*טבלה38[[#This Row],[מחיר ליח'' כולל ]]</f>
        <v>0</v>
      </c>
      <c r="AF162" s="666">
        <f>טבלה38[[#This Row],[צהריים קיטים]]*טבלה38[[#This Row],[מחיר ליח'' כולל ]]</f>
        <v>0</v>
      </c>
      <c r="AG162" s="666">
        <f>טבלה38[[#This Row],[פריסת אמצע]]*טבלה38[[#This Row],[מחיר ליח'' כולל ]]</f>
        <v>0</v>
      </c>
      <c r="AH162" s="666">
        <f>טבלה38[[#This Row],[מרק]]*טבלה38[[#This Row],[מחיר ליח'' כולל ]]</f>
        <v>0</v>
      </c>
      <c r="AI162" s="666">
        <f>טבלה38[[#This Row],[ערב בישול 1]]*טבלה38[[#This Row],[מחיר ליח'' כולל ]]</f>
        <v>0</v>
      </c>
      <c r="AJ162" s="666">
        <f>טבלה38[[#This Row],[ערב בישול 2]]*טבלה38[[#This Row],[מחיר ליח'' כולל ]]</f>
        <v>0</v>
      </c>
      <c r="AK162" s="666">
        <f>טבלה38[[#This Row],[ערב בישול 3]]*טבלה38[[#This Row],[מחיר ליח'' כולל ]]</f>
        <v>0</v>
      </c>
      <c r="AL162" s="666">
        <f>טבלה38[[#This Row],[ערב קטן 1]]*טבלה38[[#This Row],[מחיר ליח'' כולל ]]</f>
        <v>0</v>
      </c>
      <c r="AM162" s="666">
        <f>טבלה38[[#This Row],[ערב קטן 2]]*טבלה38[[#This Row],[מחיר ליח'' כולל ]]</f>
        <v>0</v>
      </c>
      <c r="AN162" s="666">
        <f>טבלה38[[#This Row],[ערב קטן 3]]*טבלה38[[#This Row],[מחיר ליח'' כולל ]]</f>
        <v>0</v>
      </c>
      <c r="AO162" s="666">
        <f>טבלה38[[#This Row],[קיטים מיוחדים]]*טבלה38[[#This Row],[מחיר ליח'' כולל ]]</f>
        <v>0</v>
      </c>
      <c r="AP162" s="666">
        <f>טבלה38[[#This Row],[תוספות]]*טבלה38[[#This Row],[מחיר ליח'' כולל ]]</f>
        <v>0</v>
      </c>
    </row>
    <row r="163" spans="2:42" ht="14.4">
      <c r="B163" s="651">
        <v>8178</v>
      </c>
      <c r="C163" s="650" t="s">
        <v>1094</v>
      </c>
      <c r="E163" s="650"/>
      <c r="F163" s="649" t="str">
        <f>IF(טבלה38[[#This Row],[סה"כ]]&gt;0,טבלה38[[#This Row],[סה"כ]],"")</f>
        <v/>
      </c>
      <c r="G163" s="656">
        <v>0.17</v>
      </c>
      <c r="H163" s="655">
        <f>טבלה38[[#This Row],[מחיר]]+טבלה38[[#This Row],[% מע"מ]]*טבלה38[[#This Row],[מחיר]]</f>
        <v>0</v>
      </c>
      <c r="I163" s="630">
        <f>טבלה38[[#This Row],[סה"כ]]*טבלה38[[#This Row],[מחיר ליח'' כולל ]]</f>
        <v>0</v>
      </c>
      <c r="J163" s="655">
        <f>SUM(טבלה38[[#This Row],[פימת קפה]:[תוספות]])</f>
        <v>0</v>
      </c>
      <c r="K163" s="655">
        <f>SUMIF(טבלה11517[מקט],טבלה38[[#This Row],[קוד מוצר]],טבלה11517[כמות])</f>
        <v>0</v>
      </c>
      <c r="L163" s="655">
        <f>SUMIF(טבלה115179[מקט],טבלה38[[#This Row],[קוד מוצר]],טבלה115179[כמות])</f>
        <v>0</v>
      </c>
      <c r="M163" s="655">
        <f>SUMIF(טבלה115[מקט],טבלה38[[#This Row],[קוד מוצר]],טבלה115[כמות])</f>
        <v>0</v>
      </c>
      <c r="N163" s="655">
        <f>SUMIF(טבלה1[מק"ט],טבלה38[[#This Row],[קוד מוצר]],טבלה1[כמות])</f>
        <v>0</v>
      </c>
      <c r="O163" s="655">
        <f>SUMIF(טבלה8[מק"ט],טבלה38[[#This Row],[קוד מוצר]],טבלה8[הזמנה])</f>
        <v>0</v>
      </c>
      <c r="P163" s="655">
        <f>SUMIF(טבלה15[מק"ט],טבלה38[[#This Row],[קוד מוצר]],טבלה15[הזמנה])</f>
        <v>0</v>
      </c>
      <c r="Q163" s="655">
        <f>SUMIF(טבלה1151718[מקט],טבלה38[[#This Row],[קוד מוצר]],טבלה1151718[כמות])</f>
        <v>0</v>
      </c>
      <c r="R163" s="655">
        <f>SUMIF(טבלה125[מקט],טבלה38[[#This Row],[קוד מוצר]],טבלה125[כמות])</f>
        <v>0</v>
      </c>
      <c r="S163" s="655">
        <f>SUMIF(טבלה33[מק"ט],טבלה38[[#This Row],[קוד מוצר]],טבלה33[הזמנה])</f>
        <v>0</v>
      </c>
      <c r="T163" s="655">
        <f>SUMIF(טבלה34[עמודה1],טבלה38[[#This Row],[קוד מוצר]],טבלה34[הזמנה])</f>
        <v>0</v>
      </c>
      <c r="U163" s="655">
        <f>SUMIF(טבלה35[עמודה1],טבלה38[[#This Row],[קוד מוצר]],טבלה35[הזמנה])</f>
        <v>0</v>
      </c>
      <c r="V163" s="655">
        <f>SUMIF(טבלה3338[מק"ט],טבלה38[[#This Row],[קוד מוצר]],טבלה3338[הזמנה])</f>
        <v>0</v>
      </c>
      <c r="W163" s="655">
        <f>SUMIF(טבלה3540[עמודה1],טבלה38[[#This Row],[קוד מוצר]],טבלה3540[הזמנה])</f>
        <v>0</v>
      </c>
      <c r="X163" s="655">
        <f>SUMIF(טבלה3441[עמודה1],טבלה38[[#This Row],[קוד מוצר]],טבלה3441[הזמנה])</f>
        <v>0</v>
      </c>
      <c r="Y163" s="655">
        <f>SUMIF(טבלה24[מקט],טבלה38[[#This Row],[קוד מוצר]],טבלה24[כמות])</f>
        <v>0</v>
      </c>
      <c r="Z163" s="655">
        <f>SUMIF(טבלה628[קוד מוצר],טבלה38[[#This Row],[קוד מוצר]],טבלה628[תוספת])</f>
        <v>0</v>
      </c>
      <c r="AA163" s="610">
        <f>טבלה38[[#This Row],[פימת קפה]]*טבלה38[[#This Row],[מחיר ליח'' כולל ]]</f>
        <v>0</v>
      </c>
      <c r="AB163" s="610">
        <f>טבלה38[[#This Row],[פת שחרית]]*טבלה38[[#This Row],[מחיר ליח'' כולל ]]</f>
        <v>0</v>
      </c>
      <c r="AC163" s="610">
        <f>טבלה38[[#This Row],[א. בוקר פריסה]]*טבלה38[[#This Row],[מחיר ליח'' כולל ]]</f>
        <v>0</v>
      </c>
      <c r="AD163" s="666">
        <f>טבלה38[[#This Row],[א. צהררים פריסה ]]*טבלה38[[#This Row],[מחיר ליח'' כולל ]]</f>
        <v>0</v>
      </c>
      <c r="AE163" s="666">
        <f>טבלה38[[#This Row],[בוקר קיטים]]*טבלה38[[#This Row],[מחיר ליח'' כולל ]]</f>
        <v>0</v>
      </c>
      <c r="AF163" s="666">
        <f>טבלה38[[#This Row],[צהריים קיטים]]*טבלה38[[#This Row],[מחיר ליח'' כולל ]]</f>
        <v>0</v>
      </c>
      <c r="AG163" s="666">
        <f>טבלה38[[#This Row],[פריסת אמצע]]*טבלה38[[#This Row],[מחיר ליח'' כולל ]]</f>
        <v>0</v>
      </c>
      <c r="AH163" s="666">
        <f>טבלה38[[#This Row],[מרק]]*טבלה38[[#This Row],[מחיר ליח'' כולל ]]</f>
        <v>0</v>
      </c>
      <c r="AI163" s="666">
        <f>טבלה38[[#This Row],[ערב בישול 1]]*טבלה38[[#This Row],[מחיר ליח'' כולל ]]</f>
        <v>0</v>
      </c>
      <c r="AJ163" s="666">
        <f>טבלה38[[#This Row],[ערב בישול 2]]*טבלה38[[#This Row],[מחיר ליח'' כולל ]]</f>
        <v>0</v>
      </c>
      <c r="AK163" s="666">
        <f>טבלה38[[#This Row],[ערב בישול 3]]*טבלה38[[#This Row],[מחיר ליח'' כולל ]]</f>
        <v>0</v>
      </c>
      <c r="AL163" s="666">
        <f>טבלה38[[#This Row],[ערב קטן 1]]*טבלה38[[#This Row],[מחיר ליח'' כולל ]]</f>
        <v>0</v>
      </c>
      <c r="AM163" s="666">
        <f>טבלה38[[#This Row],[ערב קטן 2]]*טבלה38[[#This Row],[מחיר ליח'' כולל ]]</f>
        <v>0</v>
      </c>
      <c r="AN163" s="666">
        <f>טבלה38[[#This Row],[ערב קטן 3]]*טבלה38[[#This Row],[מחיר ליח'' כולל ]]</f>
        <v>0</v>
      </c>
      <c r="AO163" s="666">
        <f>טבלה38[[#This Row],[קיטים מיוחדים]]*טבלה38[[#This Row],[מחיר ליח'' כולל ]]</f>
        <v>0</v>
      </c>
      <c r="AP163" s="666">
        <f>טבלה38[[#This Row],[תוספות]]*טבלה38[[#This Row],[מחיר ליח'' כולל ]]</f>
        <v>0</v>
      </c>
    </row>
    <row r="164" spans="2:42" ht="14.4">
      <c r="B164" s="651">
        <v>8179</v>
      </c>
      <c r="C164" s="650" t="s">
        <v>1093</v>
      </c>
      <c r="D164" s="650" t="s">
        <v>602</v>
      </c>
      <c r="E164" s="650"/>
      <c r="F164" s="649" t="str">
        <f>IF(טבלה38[[#This Row],[סה"כ]]&gt;0,טבלה38[[#This Row],[סה"כ]],"")</f>
        <v/>
      </c>
      <c r="G164" s="656">
        <v>0.17</v>
      </c>
      <c r="H164" s="655">
        <f>טבלה38[[#This Row],[מחיר]]+טבלה38[[#This Row],[% מע"מ]]*טבלה38[[#This Row],[מחיר]]</f>
        <v>0</v>
      </c>
      <c r="I164" s="630">
        <f>טבלה38[[#This Row],[סה"כ]]*טבלה38[[#This Row],[מחיר ליח'' כולל ]]</f>
        <v>0</v>
      </c>
      <c r="J164" s="655">
        <f>SUM(טבלה38[[#This Row],[פימת קפה]:[תוספות]])</f>
        <v>0</v>
      </c>
      <c r="K164" s="655">
        <f>SUMIF(טבלה11517[מקט],טבלה38[[#This Row],[קוד מוצר]],טבלה11517[כמות])</f>
        <v>0</v>
      </c>
      <c r="L164" s="655">
        <f>SUMIF(טבלה115179[מקט],טבלה38[[#This Row],[קוד מוצר]],טבלה115179[כמות])</f>
        <v>0</v>
      </c>
      <c r="M164" s="655">
        <f>SUMIF(טבלה115[מקט],טבלה38[[#This Row],[קוד מוצר]],טבלה115[כמות])</f>
        <v>0</v>
      </c>
      <c r="N164" s="655">
        <f>SUMIF(טבלה1[מק"ט],טבלה38[[#This Row],[קוד מוצר]],טבלה1[כמות])</f>
        <v>0</v>
      </c>
      <c r="O164" s="655">
        <f>SUMIF(טבלה8[מק"ט],טבלה38[[#This Row],[קוד מוצר]],טבלה8[הזמנה])</f>
        <v>0</v>
      </c>
      <c r="P164" s="655">
        <f>SUMIF(טבלה15[מק"ט],טבלה38[[#This Row],[קוד מוצר]],טבלה15[הזמנה])</f>
        <v>0</v>
      </c>
      <c r="Q164" s="655">
        <f>SUMIF(טבלה1151718[מקט],טבלה38[[#This Row],[קוד מוצר]],טבלה1151718[כמות])</f>
        <v>0</v>
      </c>
      <c r="R164" s="655">
        <f>SUMIF(טבלה125[מקט],טבלה38[[#This Row],[קוד מוצר]],טבלה125[כמות])</f>
        <v>0</v>
      </c>
      <c r="S164" s="655">
        <f>SUMIF(טבלה33[מק"ט],טבלה38[[#This Row],[קוד מוצר]],טבלה33[הזמנה])</f>
        <v>0</v>
      </c>
      <c r="T164" s="655">
        <f>SUMIF(טבלה34[עמודה1],טבלה38[[#This Row],[קוד מוצר]],טבלה34[הזמנה])</f>
        <v>0</v>
      </c>
      <c r="U164" s="655">
        <f>SUMIF(טבלה35[עמודה1],טבלה38[[#This Row],[קוד מוצר]],טבלה35[הזמנה])</f>
        <v>0</v>
      </c>
      <c r="V164" s="655">
        <f>SUMIF(טבלה3338[מק"ט],טבלה38[[#This Row],[קוד מוצר]],טבלה3338[הזמנה])</f>
        <v>0</v>
      </c>
      <c r="W164" s="655">
        <f>SUMIF(טבלה3540[עמודה1],טבלה38[[#This Row],[קוד מוצר]],טבלה3540[הזמנה])</f>
        <v>0</v>
      </c>
      <c r="X164" s="655">
        <f>SUMIF(טבלה3441[עמודה1],טבלה38[[#This Row],[קוד מוצר]],טבלה3441[הזמנה])</f>
        <v>0</v>
      </c>
      <c r="Y164" s="655">
        <f>SUMIF(טבלה24[מקט],טבלה38[[#This Row],[קוד מוצר]],טבלה24[כמות])</f>
        <v>0</v>
      </c>
      <c r="Z164" s="655">
        <f>SUMIF(טבלה628[קוד מוצר],טבלה38[[#This Row],[קוד מוצר]],טבלה628[תוספת])</f>
        <v>0</v>
      </c>
      <c r="AA164" s="610">
        <f>טבלה38[[#This Row],[פימת קפה]]*טבלה38[[#This Row],[מחיר ליח'' כולל ]]</f>
        <v>0</v>
      </c>
      <c r="AB164" s="610">
        <f>טבלה38[[#This Row],[פת שחרית]]*טבלה38[[#This Row],[מחיר ליח'' כולל ]]</f>
        <v>0</v>
      </c>
      <c r="AC164" s="610">
        <f>טבלה38[[#This Row],[א. בוקר פריסה]]*טבלה38[[#This Row],[מחיר ליח'' כולל ]]</f>
        <v>0</v>
      </c>
      <c r="AD164" s="666">
        <f>טבלה38[[#This Row],[א. צהררים פריסה ]]*טבלה38[[#This Row],[מחיר ליח'' כולל ]]</f>
        <v>0</v>
      </c>
      <c r="AE164" s="666">
        <f>טבלה38[[#This Row],[בוקר קיטים]]*טבלה38[[#This Row],[מחיר ליח'' כולל ]]</f>
        <v>0</v>
      </c>
      <c r="AF164" s="666">
        <f>טבלה38[[#This Row],[צהריים קיטים]]*טבלה38[[#This Row],[מחיר ליח'' כולל ]]</f>
        <v>0</v>
      </c>
      <c r="AG164" s="666">
        <f>טבלה38[[#This Row],[פריסת אמצע]]*טבלה38[[#This Row],[מחיר ליח'' כולל ]]</f>
        <v>0</v>
      </c>
      <c r="AH164" s="666">
        <f>טבלה38[[#This Row],[מרק]]*טבלה38[[#This Row],[מחיר ליח'' כולל ]]</f>
        <v>0</v>
      </c>
      <c r="AI164" s="666">
        <f>טבלה38[[#This Row],[ערב בישול 1]]*טבלה38[[#This Row],[מחיר ליח'' כולל ]]</f>
        <v>0</v>
      </c>
      <c r="AJ164" s="666">
        <f>טבלה38[[#This Row],[ערב בישול 2]]*טבלה38[[#This Row],[מחיר ליח'' כולל ]]</f>
        <v>0</v>
      </c>
      <c r="AK164" s="666">
        <f>טבלה38[[#This Row],[ערב בישול 3]]*טבלה38[[#This Row],[מחיר ליח'' כולל ]]</f>
        <v>0</v>
      </c>
      <c r="AL164" s="666">
        <f>טבלה38[[#This Row],[ערב קטן 1]]*טבלה38[[#This Row],[מחיר ליח'' כולל ]]</f>
        <v>0</v>
      </c>
      <c r="AM164" s="666">
        <f>טבלה38[[#This Row],[ערב קטן 2]]*טבלה38[[#This Row],[מחיר ליח'' כולל ]]</f>
        <v>0</v>
      </c>
      <c r="AN164" s="666">
        <f>טבלה38[[#This Row],[ערב קטן 3]]*טבלה38[[#This Row],[מחיר ליח'' כולל ]]</f>
        <v>0</v>
      </c>
      <c r="AO164" s="666">
        <f>טבלה38[[#This Row],[קיטים מיוחדים]]*טבלה38[[#This Row],[מחיר ליח'' כולל ]]</f>
        <v>0</v>
      </c>
      <c r="AP164" s="666">
        <f>טבלה38[[#This Row],[תוספות]]*טבלה38[[#This Row],[מחיר ליח'' כולל ]]</f>
        <v>0</v>
      </c>
    </row>
    <row r="165" spans="2:42" ht="14.4">
      <c r="B165" s="651">
        <v>8438</v>
      </c>
      <c r="C165" s="650" t="s">
        <v>1080</v>
      </c>
      <c r="E165" s="650"/>
      <c r="F165" s="649" t="str">
        <f>IF(טבלה38[[#This Row],[סה"כ]]&gt;0,טבלה38[[#This Row],[סה"כ]],"")</f>
        <v/>
      </c>
      <c r="G165" s="656">
        <v>0.17</v>
      </c>
      <c r="H165" s="655">
        <f>טבלה38[[#This Row],[מחיר]]+טבלה38[[#This Row],[% מע"מ]]*טבלה38[[#This Row],[מחיר]]</f>
        <v>0</v>
      </c>
      <c r="I165" s="630">
        <f>טבלה38[[#This Row],[סה"כ]]*טבלה38[[#This Row],[מחיר ליח'' כולל ]]</f>
        <v>0</v>
      </c>
      <c r="J165" s="655">
        <f>SUM(טבלה38[[#This Row],[פימת קפה]:[תוספות]])</f>
        <v>0</v>
      </c>
      <c r="K165" s="655">
        <f>SUMIF(טבלה11517[מקט],טבלה38[[#This Row],[קוד מוצר]],טבלה11517[כמות])</f>
        <v>0</v>
      </c>
      <c r="L165" s="655">
        <f>SUMIF(טבלה115179[מקט],טבלה38[[#This Row],[קוד מוצר]],טבלה115179[כמות])</f>
        <v>0</v>
      </c>
      <c r="M165" s="655">
        <f>SUMIF(טבלה115[מקט],טבלה38[[#This Row],[קוד מוצר]],טבלה115[כמות])</f>
        <v>0</v>
      </c>
      <c r="N165" s="655">
        <f>SUMIF(טבלה1[מק"ט],טבלה38[[#This Row],[קוד מוצר]],טבלה1[כמות])</f>
        <v>0</v>
      </c>
      <c r="O165" s="655">
        <f>SUMIF(טבלה8[מק"ט],טבלה38[[#This Row],[קוד מוצר]],טבלה8[הזמנה])</f>
        <v>0</v>
      </c>
      <c r="P165" s="655">
        <f>SUMIF(טבלה15[מק"ט],טבלה38[[#This Row],[קוד מוצר]],טבלה15[הזמנה])</f>
        <v>0</v>
      </c>
      <c r="Q165" s="655">
        <f>SUMIF(טבלה1151718[מקט],טבלה38[[#This Row],[קוד מוצר]],טבלה1151718[כמות])</f>
        <v>0</v>
      </c>
      <c r="R165" s="655">
        <f>SUMIF(טבלה125[מקט],טבלה38[[#This Row],[קוד מוצר]],טבלה125[כמות])</f>
        <v>0</v>
      </c>
      <c r="S165" s="655">
        <f>SUMIF(טבלה33[מק"ט],טבלה38[[#This Row],[קוד מוצר]],טבלה33[הזמנה])</f>
        <v>0</v>
      </c>
      <c r="T165" s="655">
        <f>SUMIF(טבלה34[עמודה1],טבלה38[[#This Row],[קוד מוצר]],טבלה34[הזמנה])</f>
        <v>0</v>
      </c>
      <c r="U165" s="655">
        <f>SUMIF(טבלה35[עמודה1],טבלה38[[#This Row],[קוד מוצר]],טבלה35[הזמנה])</f>
        <v>0</v>
      </c>
      <c r="V165" s="655">
        <f>SUMIF(טבלה3338[מק"ט],טבלה38[[#This Row],[קוד מוצר]],טבלה3338[הזמנה])</f>
        <v>0</v>
      </c>
      <c r="W165" s="655">
        <f>SUMIF(טבלה3540[עמודה1],טבלה38[[#This Row],[קוד מוצר]],טבלה3540[הזמנה])</f>
        <v>0</v>
      </c>
      <c r="X165" s="655">
        <f>SUMIF(טבלה3441[עמודה1],טבלה38[[#This Row],[קוד מוצר]],טבלה3441[הזמנה])</f>
        <v>0</v>
      </c>
      <c r="Y165" s="655">
        <f>SUMIF(טבלה24[מקט],טבלה38[[#This Row],[קוד מוצר]],טבלה24[כמות])</f>
        <v>0</v>
      </c>
      <c r="Z165" s="655">
        <f>SUMIF(טבלה628[קוד מוצר],טבלה38[[#This Row],[קוד מוצר]],טבלה628[תוספת])</f>
        <v>0</v>
      </c>
      <c r="AA165" s="610">
        <f>טבלה38[[#This Row],[פימת קפה]]*טבלה38[[#This Row],[מחיר ליח'' כולל ]]</f>
        <v>0</v>
      </c>
      <c r="AB165" s="610">
        <f>טבלה38[[#This Row],[פת שחרית]]*טבלה38[[#This Row],[מחיר ליח'' כולל ]]</f>
        <v>0</v>
      </c>
      <c r="AC165" s="610">
        <f>טבלה38[[#This Row],[א. בוקר פריסה]]*טבלה38[[#This Row],[מחיר ליח'' כולל ]]</f>
        <v>0</v>
      </c>
      <c r="AD165" s="666">
        <f>טבלה38[[#This Row],[א. צהררים פריסה ]]*טבלה38[[#This Row],[מחיר ליח'' כולל ]]</f>
        <v>0</v>
      </c>
      <c r="AE165" s="666">
        <f>טבלה38[[#This Row],[בוקר קיטים]]*טבלה38[[#This Row],[מחיר ליח'' כולל ]]</f>
        <v>0</v>
      </c>
      <c r="AF165" s="666">
        <f>טבלה38[[#This Row],[צהריים קיטים]]*טבלה38[[#This Row],[מחיר ליח'' כולל ]]</f>
        <v>0</v>
      </c>
      <c r="AG165" s="666">
        <f>טבלה38[[#This Row],[פריסת אמצע]]*טבלה38[[#This Row],[מחיר ליח'' כולל ]]</f>
        <v>0</v>
      </c>
      <c r="AH165" s="666">
        <f>טבלה38[[#This Row],[מרק]]*טבלה38[[#This Row],[מחיר ליח'' כולל ]]</f>
        <v>0</v>
      </c>
      <c r="AI165" s="666">
        <f>טבלה38[[#This Row],[ערב בישול 1]]*טבלה38[[#This Row],[מחיר ליח'' כולל ]]</f>
        <v>0</v>
      </c>
      <c r="AJ165" s="666">
        <f>טבלה38[[#This Row],[ערב בישול 2]]*טבלה38[[#This Row],[מחיר ליח'' כולל ]]</f>
        <v>0</v>
      </c>
      <c r="AK165" s="666">
        <f>טבלה38[[#This Row],[ערב בישול 3]]*טבלה38[[#This Row],[מחיר ליח'' כולל ]]</f>
        <v>0</v>
      </c>
      <c r="AL165" s="666">
        <f>טבלה38[[#This Row],[ערב קטן 1]]*טבלה38[[#This Row],[מחיר ליח'' כולל ]]</f>
        <v>0</v>
      </c>
      <c r="AM165" s="666">
        <f>טבלה38[[#This Row],[ערב קטן 2]]*טבלה38[[#This Row],[מחיר ליח'' כולל ]]</f>
        <v>0</v>
      </c>
      <c r="AN165" s="666">
        <f>טבלה38[[#This Row],[ערב קטן 3]]*טבלה38[[#This Row],[מחיר ליח'' כולל ]]</f>
        <v>0</v>
      </c>
      <c r="AO165" s="666">
        <f>טבלה38[[#This Row],[קיטים מיוחדים]]*טבלה38[[#This Row],[מחיר ליח'' כולל ]]</f>
        <v>0</v>
      </c>
      <c r="AP165" s="666">
        <f>טבלה38[[#This Row],[תוספות]]*טבלה38[[#This Row],[מחיר ליח'' כולל ]]</f>
        <v>0</v>
      </c>
    </row>
    <row r="166" spans="2:42" ht="14.4">
      <c r="B166" s="651">
        <v>8448</v>
      </c>
      <c r="C166" s="650" t="s">
        <v>1123</v>
      </c>
      <c r="D166" s="650" t="s">
        <v>602</v>
      </c>
      <c r="E166" s="650"/>
      <c r="F166" s="649" t="str">
        <f>IF(טבלה38[[#This Row],[סה"כ]]&gt;0,טבלה38[[#This Row],[סה"כ]],"")</f>
        <v/>
      </c>
      <c r="G166" s="656">
        <v>0.17</v>
      </c>
      <c r="H166" s="655">
        <f>טבלה38[[#This Row],[מחיר]]+טבלה38[[#This Row],[% מע"מ]]*טבלה38[[#This Row],[מחיר]]</f>
        <v>0</v>
      </c>
      <c r="I166" s="630">
        <f>טבלה38[[#This Row],[סה"כ]]*טבלה38[[#This Row],[מחיר ליח'' כולל ]]</f>
        <v>0</v>
      </c>
      <c r="J166" s="655">
        <f>SUM(טבלה38[[#This Row],[פימת קפה]:[תוספות]])</f>
        <v>0</v>
      </c>
      <c r="K166" s="655">
        <f>SUMIF(טבלה11517[מקט],טבלה38[[#This Row],[קוד מוצר]],טבלה11517[כמות])</f>
        <v>0</v>
      </c>
      <c r="L166" s="655">
        <f>SUMIF(טבלה115179[מקט],טבלה38[[#This Row],[קוד מוצר]],טבלה115179[כמות])</f>
        <v>0</v>
      </c>
      <c r="M166" s="655">
        <f>SUMIF(טבלה115[מקט],טבלה38[[#This Row],[קוד מוצר]],טבלה115[כמות])</f>
        <v>0</v>
      </c>
      <c r="N166" s="655">
        <f>SUMIF(טבלה1[מק"ט],טבלה38[[#This Row],[קוד מוצר]],טבלה1[כמות])</f>
        <v>0</v>
      </c>
      <c r="O166" s="655">
        <f>SUMIF(טבלה8[מק"ט],טבלה38[[#This Row],[קוד מוצר]],טבלה8[הזמנה])</f>
        <v>0</v>
      </c>
      <c r="P166" s="655">
        <f>SUMIF(טבלה15[מק"ט],טבלה38[[#This Row],[קוד מוצר]],טבלה15[הזמנה])</f>
        <v>0</v>
      </c>
      <c r="Q166" s="655">
        <f>SUMIF(טבלה1151718[מקט],טבלה38[[#This Row],[קוד מוצר]],טבלה1151718[כמות])</f>
        <v>0</v>
      </c>
      <c r="R166" s="655">
        <f>SUMIF(טבלה125[מקט],טבלה38[[#This Row],[קוד מוצר]],טבלה125[כמות])</f>
        <v>0</v>
      </c>
      <c r="S166" s="655">
        <f>SUMIF(טבלה33[מק"ט],טבלה38[[#This Row],[קוד מוצר]],טבלה33[הזמנה])</f>
        <v>0</v>
      </c>
      <c r="T166" s="655">
        <f>SUMIF(טבלה34[עמודה1],טבלה38[[#This Row],[קוד מוצר]],טבלה34[הזמנה])</f>
        <v>0</v>
      </c>
      <c r="U166" s="655">
        <f>SUMIF(טבלה35[עמודה1],טבלה38[[#This Row],[קוד מוצר]],טבלה35[הזמנה])</f>
        <v>0</v>
      </c>
      <c r="V166" s="655">
        <f>SUMIF(טבלה3338[מק"ט],טבלה38[[#This Row],[קוד מוצר]],טבלה3338[הזמנה])</f>
        <v>0</v>
      </c>
      <c r="W166" s="655">
        <f>SUMIF(טבלה3540[עמודה1],טבלה38[[#This Row],[קוד מוצר]],טבלה3540[הזמנה])</f>
        <v>0</v>
      </c>
      <c r="X166" s="655">
        <f>SUMIF(טבלה3441[עמודה1],טבלה38[[#This Row],[קוד מוצר]],טבלה3441[הזמנה])</f>
        <v>0</v>
      </c>
      <c r="Y166" s="655">
        <f>SUMIF(טבלה24[מקט],טבלה38[[#This Row],[קוד מוצר]],טבלה24[כמות])</f>
        <v>0</v>
      </c>
      <c r="Z166" s="655">
        <f>SUMIF(טבלה628[קוד מוצר],טבלה38[[#This Row],[קוד מוצר]],טבלה628[תוספת])</f>
        <v>0</v>
      </c>
      <c r="AA166" s="610">
        <f>טבלה38[[#This Row],[פימת קפה]]*טבלה38[[#This Row],[מחיר ליח'' כולל ]]</f>
        <v>0</v>
      </c>
      <c r="AB166" s="610">
        <f>טבלה38[[#This Row],[פת שחרית]]*טבלה38[[#This Row],[מחיר ליח'' כולל ]]</f>
        <v>0</v>
      </c>
      <c r="AC166" s="610">
        <f>טבלה38[[#This Row],[א. בוקר פריסה]]*טבלה38[[#This Row],[מחיר ליח'' כולל ]]</f>
        <v>0</v>
      </c>
      <c r="AD166" s="666">
        <f>טבלה38[[#This Row],[א. צהררים פריסה ]]*טבלה38[[#This Row],[מחיר ליח'' כולל ]]</f>
        <v>0</v>
      </c>
      <c r="AE166" s="666">
        <f>טבלה38[[#This Row],[בוקר קיטים]]*טבלה38[[#This Row],[מחיר ליח'' כולל ]]</f>
        <v>0</v>
      </c>
      <c r="AF166" s="666">
        <f>טבלה38[[#This Row],[צהריים קיטים]]*טבלה38[[#This Row],[מחיר ליח'' כולל ]]</f>
        <v>0</v>
      </c>
      <c r="AG166" s="666">
        <f>טבלה38[[#This Row],[פריסת אמצע]]*טבלה38[[#This Row],[מחיר ליח'' כולל ]]</f>
        <v>0</v>
      </c>
      <c r="AH166" s="666">
        <f>טבלה38[[#This Row],[מרק]]*טבלה38[[#This Row],[מחיר ליח'' כולל ]]</f>
        <v>0</v>
      </c>
      <c r="AI166" s="666">
        <f>טבלה38[[#This Row],[ערב בישול 1]]*טבלה38[[#This Row],[מחיר ליח'' כולל ]]</f>
        <v>0</v>
      </c>
      <c r="AJ166" s="666">
        <f>טבלה38[[#This Row],[ערב בישול 2]]*טבלה38[[#This Row],[מחיר ליח'' כולל ]]</f>
        <v>0</v>
      </c>
      <c r="AK166" s="666">
        <f>טבלה38[[#This Row],[ערב בישול 3]]*טבלה38[[#This Row],[מחיר ליח'' כולל ]]</f>
        <v>0</v>
      </c>
      <c r="AL166" s="666">
        <f>טבלה38[[#This Row],[ערב קטן 1]]*טבלה38[[#This Row],[מחיר ליח'' כולל ]]</f>
        <v>0</v>
      </c>
      <c r="AM166" s="666">
        <f>טבלה38[[#This Row],[ערב קטן 2]]*טבלה38[[#This Row],[מחיר ליח'' כולל ]]</f>
        <v>0</v>
      </c>
      <c r="AN166" s="666">
        <f>טבלה38[[#This Row],[ערב קטן 3]]*טבלה38[[#This Row],[מחיר ליח'' כולל ]]</f>
        <v>0</v>
      </c>
      <c r="AO166" s="666">
        <f>טבלה38[[#This Row],[קיטים מיוחדים]]*טבלה38[[#This Row],[מחיר ליח'' כולל ]]</f>
        <v>0</v>
      </c>
      <c r="AP166" s="666">
        <f>טבלה38[[#This Row],[תוספות]]*טבלה38[[#This Row],[מחיר ליח'' כולל ]]</f>
        <v>0</v>
      </c>
    </row>
    <row r="167" spans="2:42" ht="14.4">
      <c r="B167" s="651">
        <v>8584</v>
      </c>
      <c r="C167" s="650" t="s">
        <v>989</v>
      </c>
      <c r="D167" s="650" t="s">
        <v>8</v>
      </c>
      <c r="E167" s="650"/>
      <c r="F167" s="649" t="str">
        <f>IF(טבלה38[[#This Row],[סה"כ]]&gt;0,טבלה38[[#This Row],[סה"כ]],"")</f>
        <v/>
      </c>
      <c r="G167" s="656">
        <v>0.17</v>
      </c>
      <c r="H167" s="655">
        <f>טבלה38[[#This Row],[מחיר]]+טבלה38[[#This Row],[% מע"מ]]*טבלה38[[#This Row],[מחיר]]</f>
        <v>0</v>
      </c>
      <c r="I167" s="630">
        <f>טבלה38[[#This Row],[סה"כ]]*טבלה38[[#This Row],[מחיר ליח'' כולל ]]</f>
        <v>0</v>
      </c>
      <c r="J167" s="655">
        <f>SUM(טבלה38[[#This Row],[פימת קפה]:[תוספות]])</f>
        <v>0</v>
      </c>
      <c r="K167" s="655">
        <f>SUMIF(טבלה11517[מקט],טבלה38[[#This Row],[קוד מוצר]],טבלה11517[כמות])</f>
        <v>0</v>
      </c>
      <c r="L167" s="655">
        <f>SUMIF(טבלה115179[מקט],טבלה38[[#This Row],[קוד מוצר]],טבלה115179[כמות])</f>
        <v>0</v>
      </c>
      <c r="M167" s="655">
        <f>SUMIF(טבלה115[מקט],טבלה38[[#This Row],[קוד מוצר]],טבלה115[כמות])</f>
        <v>0</v>
      </c>
      <c r="N167" s="655">
        <f>SUMIF(טבלה1[מק"ט],טבלה38[[#This Row],[קוד מוצר]],טבלה1[כמות])</f>
        <v>0</v>
      </c>
      <c r="O167" s="655">
        <f>SUMIF(טבלה8[מק"ט],טבלה38[[#This Row],[קוד מוצר]],טבלה8[הזמנה])</f>
        <v>0</v>
      </c>
      <c r="P167" s="655">
        <f>SUMIF(טבלה15[מק"ט],טבלה38[[#This Row],[קוד מוצר]],טבלה15[הזמנה])</f>
        <v>0</v>
      </c>
      <c r="Q167" s="655">
        <f>SUMIF(טבלה1151718[מקט],טבלה38[[#This Row],[קוד מוצר]],טבלה1151718[כמות])</f>
        <v>0</v>
      </c>
      <c r="R167" s="655">
        <f>SUMIF(טבלה125[מקט],טבלה38[[#This Row],[קוד מוצר]],טבלה125[כמות])</f>
        <v>0</v>
      </c>
      <c r="S167" s="655">
        <f>SUMIF(טבלה33[מק"ט],טבלה38[[#This Row],[קוד מוצר]],טבלה33[הזמנה])</f>
        <v>0</v>
      </c>
      <c r="T167" s="655">
        <f>SUMIF(טבלה34[עמודה1],טבלה38[[#This Row],[קוד מוצר]],טבלה34[הזמנה])</f>
        <v>0</v>
      </c>
      <c r="U167" s="655">
        <f>SUMIF(טבלה35[עמודה1],טבלה38[[#This Row],[קוד מוצר]],טבלה35[הזמנה])</f>
        <v>0</v>
      </c>
      <c r="V167" s="655">
        <f>SUMIF(טבלה3338[מק"ט],טבלה38[[#This Row],[קוד מוצר]],טבלה3338[הזמנה])</f>
        <v>0</v>
      </c>
      <c r="W167" s="655">
        <f>SUMIF(טבלה3540[עמודה1],טבלה38[[#This Row],[קוד מוצר]],טבלה3540[הזמנה])</f>
        <v>0</v>
      </c>
      <c r="X167" s="655">
        <f>SUMIF(טבלה3441[עמודה1],טבלה38[[#This Row],[קוד מוצר]],טבלה3441[הזמנה])</f>
        <v>0</v>
      </c>
      <c r="Y167" s="655">
        <f>SUMIF(טבלה24[מקט],טבלה38[[#This Row],[קוד מוצר]],טבלה24[כמות])</f>
        <v>0</v>
      </c>
      <c r="Z167" s="655">
        <f>SUMIF(טבלה628[קוד מוצר],טבלה38[[#This Row],[קוד מוצר]],טבלה628[תוספת])</f>
        <v>0</v>
      </c>
      <c r="AA167" s="610">
        <f>טבלה38[[#This Row],[פימת קפה]]*טבלה38[[#This Row],[מחיר ליח'' כולל ]]</f>
        <v>0</v>
      </c>
      <c r="AB167" s="610">
        <f>טבלה38[[#This Row],[פת שחרית]]*טבלה38[[#This Row],[מחיר ליח'' כולל ]]</f>
        <v>0</v>
      </c>
      <c r="AC167" s="610">
        <f>טבלה38[[#This Row],[א. בוקר פריסה]]*טבלה38[[#This Row],[מחיר ליח'' כולל ]]</f>
        <v>0</v>
      </c>
      <c r="AD167" s="666">
        <f>טבלה38[[#This Row],[א. צהררים פריסה ]]*טבלה38[[#This Row],[מחיר ליח'' כולל ]]</f>
        <v>0</v>
      </c>
      <c r="AE167" s="666">
        <f>טבלה38[[#This Row],[בוקר קיטים]]*טבלה38[[#This Row],[מחיר ליח'' כולל ]]</f>
        <v>0</v>
      </c>
      <c r="AF167" s="666">
        <f>טבלה38[[#This Row],[צהריים קיטים]]*טבלה38[[#This Row],[מחיר ליח'' כולל ]]</f>
        <v>0</v>
      </c>
      <c r="AG167" s="666">
        <f>טבלה38[[#This Row],[פריסת אמצע]]*טבלה38[[#This Row],[מחיר ליח'' כולל ]]</f>
        <v>0</v>
      </c>
      <c r="AH167" s="666">
        <f>טבלה38[[#This Row],[מרק]]*טבלה38[[#This Row],[מחיר ליח'' כולל ]]</f>
        <v>0</v>
      </c>
      <c r="AI167" s="666">
        <f>טבלה38[[#This Row],[ערב בישול 1]]*טבלה38[[#This Row],[מחיר ליח'' כולל ]]</f>
        <v>0</v>
      </c>
      <c r="AJ167" s="666">
        <f>טבלה38[[#This Row],[ערב בישול 2]]*טבלה38[[#This Row],[מחיר ליח'' כולל ]]</f>
        <v>0</v>
      </c>
      <c r="AK167" s="666">
        <f>טבלה38[[#This Row],[ערב בישול 3]]*טבלה38[[#This Row],[מחיר ליח'' כולל ]]</f>
        <v>0</v>
      </c>
      <c r="AL167" s="666">
        <f>טבלה38[[#This Row],[ערב קטן 1]]*טבלה38[[#This Row],[מחיר ליח'' כולל ]]</f>
        <v>0</v>
      </c>
      <c r="AM167" s="666">
        <f>טבלה38[[#This Row],[ערב קטן 2]]*טבלה38[[#This Row],[מחיר ליח'' כולל ]]</f>
        <v>0</v>
      </c>
      <c r="AN167" s="666">
        <f>טבלה38[[#This Row],[ערב קטן 3]]*טבלה38[[#This Row],[מחיר ליח'' כולל ]]</f>
        <v>0</v>
      </c>
      <c r="AO167" s="666">
        <f>טבלה38[[#This Row],[קיטים מיוחדים]]*טבלה38[[#This Row],[מחיר ליח'' כולל ]]</f>
        <v>0</v>
      </c>
      <c r="AP167" s="666">
        <f>טבלה38[[#This Row],[תוספות]]*טבלה38[[#This Row],[מחיר ליח'' כולל ]]</f>
        <v>0</v>
      </c>
    </row>
    <row r="168" spans="2:42" ht="14.4">
      <c r="B168" s="651">
        <v>8812</v>
      </c>
      <c r="C168" s="650" t="s">
        <v>1029</v>
      </c>
      <c r="D168" s="650" t="s">
        <v>602</v>
      </c>
      <c r="E168" s="650"/>
      <c r="F168" s="649" t="str">
        <f>IF(טבלה38[[#This Row],[סה"כ]]&gt;0,טבלה38[[#This Row],[סה"כ]],"")</f>
        <v/>
      </c>
      <c r="G168" s="656">
        <v>0.17</v>
      </c>
      <c r="H168" s="655">
        <f>טבלה38[[#This Row],[מחיר]]+טבלה38[[#This Row],[% מע"מ]]*טבלה38[[#This Row],[מחיר]]</f>
        <v>0</v>
      </c>
      <c r="I168" s="630">
        <f>טבלה38[[#This Row],[סה"כ]]*טבלה38[[#This Row],[מחיר ליח'' כולל ]]</f>
        <v>0</v>
      </c>
      <c r="J168" s="655">
        <f>SUM(טבלה38[[#This Row],[פימת קפה]:[תוספות]])</f>
        <v>0</v>
      </c>
      <c r="K168" s="655">
        <f>SUMIF(טבלה11517[מקט],טבלה38[[#This Row],[קוד מוצר]],טבלה11517[כמות])</f>
        <v>0</v>
      </c>
      <c r="L168" s="655">
        <f>SUMIF(טבלה115179[מקט],טבלה38[[#This Row],[קוד מוצר]],טבלה115179[כמות])</f>
        <v>0</v>
      </c>
      <c r="M168" s="655">
        <f>SUMIF(טבלה115[מקט],טבלה38[[#This Row],[קוד מוצר]],טבלה115[כמות])</f>
        <v>0</v>
      </c>
      <c r="N168" s="655">
        <f>SUMIF(טבלה1[מק"ט],טבלה38[[#This Row],[קוד מוצר]],טבלה1[כמות])</f>
        <v>0</v>
      </c>
      <c r="O168" s="655">
        <f>SUMIF(טבלה8[מק"ט],טבלה38[[#This Row],[קוד מוצר]],טבלה8[הזמנה])</f>
        <v>0</v>
      </c>
      <c r="P168" s="655">
        <f>SUMIF(טבלה15[מק"ט],טבלה38[[#This Row],[קוד מוצר]],טבלה15[הזמנה])</f>
        <v>0</v>
      </c>
      <c r="Q168" s="655">
        <f>SUMIF(טבלה1151718[מקט],טבלה38[[#This Row],[קוד מוצר]],טבלה1151718[כמות])</f>
        <v>0</v>
      </c>
      <c r="R168" s="655">
        <f>SUMIF(טבלה125[מקט],טבלה38[[#This Row],[קוד מוצר]],טבלה125[כמות])</f>
        <v>0</v>
      </c>
      <c r="S168" s="655">
        <f>SUMIF(טבלה33[מק"ט],טבלה38[[#This Row],[קוד מוצר]],טבלה33[הזמנה])</f>
        <v>0</v>
      </c>
      <c r="T168" s="655">
        <f>SUMIF(טבלה34[עמודה1],טבלה38[[#This Row],[קוד מוצר]],טבלה34[הזמנה])</f>
        <v>0</v>
      </c>
      <c r="U168" s="655">
        <f>SUMIF(טבלה35[עמודה1],טבלה38[[#This Row],[קוד מוצר]],טבלה35[הזמנה])</f>
        <v>0</v>
      </c>
      <c r="V168" s="655">
        <f>SUMIF(טבלה3338[מק"ט],טבלה38[[#This Row],[קוד מוצר]],טבלה3338[הזמנה])</f>
        <v>0</v>
      </c>
      <c r="W168" s="655">
        <f>SUMIF(טבלה3540[עמודה1],טבלה38[[#This Row],[קוד מוצר]],טבלה3540[הזמנה])</f>
        <v>0</v>
      </c>
      <c r="X168" s="655">
        <f>SUMIF(טבלה3441[עמודה1],טבלה38[[#This Row],[קוד מוצר]],טבלה3441[הזמנה])</f>
        <v>0</v>
      </c>
      <c r="Y168" s="655">
        <f>SUMIF(טבלה24[מקט],טבלה38[[#This Row],[קוד מוצר]],טבלה24[כמות])</f>
        <v>0</v>
      </c>
      <c r="Z168" s="655">
        <f>SUMIF(טבלה628[קוד מוצר],טבלה38[[#This Row],[קוד מוצר]],טבלה628[תוספת])</f>
        <v>0</v>
      </c>
      <c r="AA168" s="610">
        <f>טבלה38[[#This Row],[פימת קפה]]*טבלה38[[#This Row],[מחיר ליח'' כולל ]]</f>
        <v>0</v>
      </c>
      <c r="AB168" s="610">
        <f>טבלה38[[#This Row],[פת שחרית]]*טבלה38[[#This Row],[מחיר ליח'' כולל ]]</f>
        <v>0</v>
      </c>
      <c r="AC168" s="610">
        <f>טבלה38[[#This Row],[א. בוקר פריסה]]*טבלה38[[#This Row],[מחיר ליח'' כולל ]]</f>
        <v>0</v>
      </c>
      <c r="AD168" s="666">
        <f>טבלה38[[#This Row],[א. צהררים פריסה ]]*טבלה38[[#This Row],[מחיר ליח'' כולל ]]</f>
        <v>0</v>
      </c>
      <c r="AE168" s="666">
        <f>טבלה38[[#This Row],[בוקר קיטים]]*טבלה38[[#This Row],[מחיר ליח'' כולל ]]</f>
        <v>0</v>
      </c>
      <c r="AF168" s="666">
        <f>טבלה38[[#This Row],[צהריים קיטים]]*טבלה38[[#This Row],[מחיר ליח'' כולל ]]</f>
        <v>0</v>
      </c>
      <c r="AG168" s="666">
        <f>טבלה38[[#This Row],[פריסת אמצע]]*טבלה38[[#This Row],[מחיר ליח'' כולל ]]</f>
        <v>0</v>
      </c>
      <c r="AH168" s="666">
        <f>טבלה38[[#This Row],[מרק]]*טבלה38[[#This Row],[מחיר ליח'' כולל ]]</f>
        <v>0</v>
      </c>
      <c r="AI168" s="666">
        <f>טבלה38[[#This Row],[ערב בישול 1]]*טבלה38[[#This Row],[מחיר ליח'' כולל ]]</f>
        <v>0</v>
      </c>
      <c r="AJ168" s="666">
        <f>טבלה38[[#This Row],[ערב בישול 2]]*טבלה38[[#This Row],[מחיר ליח'' כולל ]]</f>
        <v>0</v>
      </c>
      <c r="AK168" s="666">
        <f>טבלה38[[#This Row],[ערב בישול 3]]*טבלה38[[#This Row],[מחיר ליח'' כולל ]]</f>
        <v>0</v>
      </c>
      <c r="AL168" s="666">
        <f>טבלה38[[#This Row],[ערב קטן 1]]*טבלה38[[#This Row],[מחיר ליח'' כולל ]]</f>
        <v>0</v>
      </c>
      <c r="AM168" s="666">
        <f>טבלה38[[#This Row],[ערב קטן 2]]*טבלה38[[#This Row],[מחיר ליח'' כולל ]]</f>
        <v>0</v>
      </c>
      <c r="AN168" s="666">
        <f>טבלה38[[#This Row],[ערב קטן 3]]*טבלה38[[#This Row],[מחיר ליח'' כולל ]]</f>
        <v>0</v>
      </c>
      <c r="AO168" s="666">
        <f>טבלה38[[#This Row],[קיטים מיוחדים]]*טבלה38[[#This Row],[מחיר ליח'' כולל ]]</f>
        <v>0</v>
      </c>
      <c r="AP168" s="666">
        <f>טבלה38[[#This Row],[תוספות]]*טבלה38[[#This Row],[מחיר ליח'' כולל ]]</f>
        <v>0</v>
      </c>
    </row>
    <row r="169" spans="2:42" ht="14.4">
      <c r="B169" s="651">
        <v>8946</v>
      </c>
      <c r="C169" s="650" t="s">
        <v>1081</v>
      </c>
      <c r="E169" s="650"/>
      <c r="F169" s="649" t="str">
        <f>IF(טבלה38[[#This Row],[סה"כ]]&gt;0,טבלה38[[#This Row],[סה"כ]],"")</f>
        <v/>
      </c>
      <c r="G169" s="656">
        <v>0.17</v>
      </c>
      <c r="H169" s="655">
        <f>טבלה38[[#This Row],[מחיר]]+טבלה38[[#This Row],[% מע"מ]]*טבלה38[[#This Row],[מחיר]]</f>
        <v>0</v>
      </c>
      <c r="I169" s="630">
        <f>טבלה38[[#This Row],[סה"כ]]*טבלה38[[#This Row],[מחיר ליח'' כולל ]]</f>
        <v>0</v>
      </c>
      <c r="J169" s="655">
        <f>SUM(טבלה38[[#This Row],[פימת קפה]:[תוספות]])</f>
        <v>0</v>
      </c>
      <c r="K169" s="655">
        <f>SUMIF(טבלה11517[מקט],טבלה38[[#This Row],[קוד מוצר]],טבלה11517[כמות])</f>
        <v>0</v>
      </c>
      <c r="L169" s="655">
        <f>SUMIF(טבלה115179[מקט],טבלה38[[#This Row],[קוד מוצר]],טבלה115179[כמות])</f>
        <v>0</v>
      </c>
      <c r="M169" s="655">
        <f>SUMIF(טבלה115[מקט],טבלה38[[#This Row],[קוד מוצר]],טבלה115[כמות])</f>
        <v>0</v>
      </c>
      <c r="N169" s="655">
        <f>SUMIF(טבלה1[מק"ט],טבלה38[[#This Row],[קוד מוצר]],טבלה1[כמות])</f>
        <v>0</v>
      </c>
      <c r="O169" s="655">
        <f>SUMIF(טבלה8[מק"ט],טבלה38[[#This Row],[קוד מוצר]],טבלה8[הזמנה])</f>
        <v>0</v>
      </c>
      <c r="P169" s="655">
        <f>SUMIF(טבלה15[מק"ט],טבלה38[[#This Row],[קוד מוצר]],טבלה15[הזמנה])</f>
        <v>0</v>
      </c>
      <c r="Q169" s="655">
        <f>SUMIF(טבלה1151718[מקט],טבלה38[[#This Row],[קוד מוצר]],טבלה1151718[כמות])</f>
        <v>0</v>
      </c>
      <c r="R169" s="655">
        <f>SUMIF(טבלה125[מקט],טבלה38[[#This Row],[קוד מוצר]],טבלה125[כמות])</f>
        <v>0</v>
      </c>
      <c r="S169" s="655">
        <f>SUMIF(טבלה33[מק"ט],טבלה38[[#This Row],[קוד מוצר]],טבלה33[הזמנה])</f>
        <v>0</v>
      </c>
      <c r="T169" s="655">
        <f>SUMIF(טבלה34[עמודה1],טבלה38[[#This Row],[קוד מוצר]],טבלה34[הזמנה])</f>
        <v>0</v>
      </c>
      <c r="U169" s="655">
        <f>SUMIF(טבלה35[עמודה1],טבלה38[[#This Row],[קוד מוצר]],טבלה35[הזמנה])</f>
        <v>0</v>
      </c>
      <c r="V169" s="655">
        <f>SUMIF(טבלה3338[מק"ט],טבלה38[[#This Row],[קוד מוצר]],טבלה3338[הזמנה])</f>
        <v>0</v>
      </c>
      <c r="W169" s="655">
        <f>SUMIF(טבלה3540[עמודה1],טבלה38[[#This Row],[קוד מוצר]],טבלה3540[הזמנה])</f>
        <v>0</v>
      </c>
      <c r="X169" s="655">
        <f>SUMIF(טבלה3441[עמודה1],טבלה38[[#This Row],[קוד מוצר]],טבלה3441[הזמנה])</f>
        <v>0</v>
      </c>
      <c r="Y169" s="655">
        <f>SUMIF(טבלה24[מקט],טבלה38[[#This Row],[קוד מוצר]],טבלה24[כמות])</f>
        <v>0</v>
      </c>
      <c r="Z169" s="655">
        <f>SUMIF(טבלה628[קוד מוצר],טבלה38[[#This Row],[קוד מוצר]],טבלה628[תוספת])</f>
        <v>0</v>
      </c>
      <c r="AA169" s="610">
        <f>טבלה38[[#This Row],[פימת קפה]]*טבלה38[[#This Row],[מחיר ליח'' כולל ]]</f>
        <v>0</v>
      </c>
      <c r="AB169" s="610">
        <f>טבלה38[[#This Row],[פת שחרית]]*טבלה38[[#This Row],[מחיר ליח'' כולל ]]</f>
        <v>0</v>
      </c>
      <c r="AC169" s="610">
        <f>טבלה38[[#This Row],[א. בוקר פריסה]]*טבלה38[[#This Row],[מחיר ליח'' כולל ]]</f>
        <v>0</v>
      </c>
      <c r="AD169" s="666">
        <f>טבלה38[[#This Row],[א. צהררים פריסה ]]*טבלה38[[#This Row],[מחיר ליח'' כולל ]]</f>
        <v>0</v>
      </c>
      <c r="AE169" s="666">
        <f>טבלה38[[#This Row],[בוקר קיטים]]*טבלה38[[#This Row],[מחיר ליח'' כולל ]]</f>
        <v>0</v>
      </c>
      <c r="AF169" s="666">
        <f>טבלה38[[#This Row],[צהריים קיטים]]*טבלה38[[#This Row],[מחיר ליח'' כולל ]]</f>
        <v>0</v>
      </c>
      <c r="AG169" s="666">
        <f>טבלה38[[#This Row],[פריסת אמצע]]*טבלה38[[#This Row],[מחיר ליח'' כולל ]]</f>
        <v>0</v>
      </c>
      <c r="AH169" s="666">
        <f>טבלה38[[#This Row],[מרק]]*טבלה38[[#This Row],[מחיר ליח'' כולל ]]</f>
        <v>0</v>
      </c>
      <c r="AI169" s="666">
        <f>טבלה38[[#This Row],[ערב בישול 1]]*טבלה38[[#This Row],[מחיר ליח'' כולל ]]</f>
        <v>0</v>
      </c>
      <c r="AJ169" s="666">
        <f>טבלה38[[#This Row],[ערב בישול 2]]*טבלה38[[#This Row],[מחיר ליח'' כולל ]]</f>
        <v>0</v>
      </c>
      <c r="AK169" s="666">
        <f>טבלה38[[#This Row],[ערב בישול 3]]*טבלה38[[#This Row],[מחיר ליח'' כולל ]]</f>
        <v>0</v>
      </c>
      <c r="AL169" s="666">
        <f>טבלה38[[#This Row],[ערב קטן 1]]*טבלה38[[#This Row],[מחיר ליח'' כולל ]]</f>
        <v>0</v>
      </c>
      <c r="AM169" s="666">
        <f>טבלה38[[#This Row],[ערב קטן 2]]*טבלה38[[#This Row],[מחיר ליח'' כולל ]]</f>
        <v>0</v>
      </c>
      <c r="AN169" s="666">
        <f>טבלה38[[#This Row],[ערב קטן 3]]*טבלה38[[#This Row],[מחיר ליח'' כולל ]]</f>
        <v>0</v>
      </c>
      <c r="AO169" s="666">
        <f>טבלה38[[#This Row],[קיטים מיוחדים]]*טבלה38[[#This Row],[מחיר ליח'' כולל ]]</f>
        <v>0</v>
      </c>
      <c r="AP169" s="666">
        <f>טבלה38[[#This Row],[תוספות]]*טבלה38[[#This Row],[מחיר ליח'' כולל ]]</f>
        <v>0</v>
      </c>
    </row>
    <row r="170" spans="2:42" ht="14.4">
      <c r="B170" s="651">
        <v>8956</v>
      </c>
      <c r="C170" s="650" t="s">
        <v>1075</v>
      </c>
      <c r="E170" s="650"/>
      <c r="F170" s="649" t="str">
        <f>IF(טבלה38[[#This Row],[סה"כ]]&gt;0,טבלה38[[#This Row],[סה"כ]],"")</f>
        <v/>
      </c>
      <c r="G170" s="656">
        <v>0.17</v>
      </c>
      <c r="H170" s="655">
        <f>טבלה38[[#This Row],[מחיר]]+טבלה38[[#This Row],[% מע"מ]]*טבלה38[[#This Row],[מחיר]]</f>
        <v>0</v>
      </c>
      <c r="I170" s="630">
        <f>טבלה38[[#This Row],[סה"כ]]*טבלה38[[#This Row],[מחיר ליח'' כולל ]]</f>
        <v>0</v>
      </c>
      <c r="J170" s="655">
        <f>SUM(טבלה38[[#This Row],[פימת קפה]:[תוספות]])</f>
        <v>0</v>
      </c>
      <c r="K170" s="655">
        <f>SUMIF(טבלה11517[מקט],טבלה38[[#This Row],[קוד מוצר]],טבלה11517[כמות])</f>
        <v>0</v>
      </c>
      <c r="L170" s="655">
        <f>SUMIF(טבלה115179[מקט],טבלה38[[#This Row],[קוד מוצר]],טבלה115179[כמות])</f>
        <v>0</v>
      </c>
      <c r="M170" s="655">
        <f>SUMIF(טבלה115[מקט],טבלה38[[#This Row],[קוד מוצר]],טבלה115[כמות])</f>
        <v>0</v>
      </c>
      <c r="N170" s="655">
        <f>SUMIF(טבלה1[מק"ט],טבלה38[[#This Row],[קוד מוצר]],טבלה1[כמות])</f>
        <v>0</v>
      </c>
      <c r="O170" s="655">
        <f>SUMIF(טבלה8[מק"ט],טבלה38[[#This Row],[קוד מוצר]],טבלה8[הזמנה])</f>
        <v>0</v>
      </c>
      <c r="P170" s="655">
        <f>SUMIF(טבלה15[מק"ט],טבלה38[[#This Row],[קוד מוצר]],טבלה15[הזמנה])</f>
        <v>0</v>
      </c>
      <c r="Q170" s="655">
        <f>SUMIF(טבלה1151718[מקט],טבלה38[[#This Row],[קוד מוצר]],טבלה1151718[כמות])</f>
        <v>0</v>
      </c>
      <c r="R170" s="655">
        <f>SUMIF(טבלה125[מקט],טבלה38[[#This Row],[קוד מוצר]],טבלה125[כמות])</f>
        <v>0</v>
      </c>
      <c r="S170" s="655">
        <f>SUMIF(טבלה33[מק"ט],טבלה38[[#This Row],[קוד מוצר]],טבלה33[הזמנה])</f>
        <v>0</v>
      </c>
      <c r="T170" s="655">
        <f>SUMIF(טבלה34[עמודה1],טבלה38[[#This Row],[קוד מוצר]],טבלה34[הזמנה])</f>
        <v>0</v>
      </c>
      <c r="U170" s="655">
        <f>SUMIF(טבלה35[עמודה1],טבלה38[[#This Row],[קוד מוצר]],טבלה35[הזמנה])</f>
        <v>0</v>
      </c>
      <c r="V170" s="655">
        <f>SUMIF(טבלה3338[מק"ט],טבלה38[[#This Row],[קוד מוצר]],טבלה3338[הזמנה])</f>
        <v>0</v>
      </c>
      <c r="W170" s="655">
        <f>SUMIF(טבלה3540[עמודה1],טבלה38[[#This Row],[קוד מוצר]],טבלה3540[הזמנה])</f>
        <v>0</v>
      </c>
      <c r="X170" s="655">
        <f>SUMIF(טבלה3441[עמודה1],טבלה38[[#This Row],[קוד מוצר]],טבלה3441[הזמנה])</f>
        <v>0</v>
      </c>
      <c r="Y170" s="655">
        <f>SUMIF(טבלה24[מקט],טבלה38[[#This Row],[קוד מוצר]],טבלה24[כמות])</f>
        <v>0</v>
      </c>
      <c r="Z170" s="655">
        <f>SUMIF(טבלה628[קוד מוצר],טבלה38[[#This Row],[קוד מוצר]],טבלה628[תוספת])</f>
        <v>0</v>
      </c>
      <c r="AA170" s="610">
        <f>טבלה38[[#This Row],[פימת קפה]]*טבלה38[[#This Row],[מחיר ליח'' כולל ]]</f>
        <v>0</v>
      </c>
      <c r="AB170" s="610">
        <f>טבלה38[[#This Row],[פת שחרית]]*טבלה38[[#This Row],[מחיר ליח'' כולל ]]</f>
        <v>0</v>
      </c>
      <c r="AC170" s="610">
        <f>טבלה38[[#This Row],[א. בוקר פריסה]]*טבלה38[[#This Row],[מחיר ליח'' כולל ]]</f>
        <v>0</v>
      </c>
      <c r="AD170" s="666">
        <f>טבלה38[[#This Row],[א. צהררים פריסה ]]*טבלה38[[#This Row],[מחיר ליח'' כולל ]]</f>
        <v>0</v>
      </c>
      <c r="AE170" s="666">
        <f>טבלה38[[#This Row],[בוקר קיטים]]*טבלה38[[#This Row],[מחיר ליח'' כולל ]]</f>
        <v>0</v>
      </c>
      <c r="AF170" s="666">
        <f>טבלה38[[#This Row],[צהריים קיטים]]*טבלה38[[#This Row],[מחיר ליח'' כולל ]]</f>
        <v>0</v>
      </c>
      <c r="AG170" s="666">
        <f>טבלה38[[#This Row],[פריסת אמצע]]*טבלה38[[#This Row],[מחיר ליח'' כולל ]]</f>
        <v>0</v>
      </c>
      <c r="AH170" s="666">
        <f>טבלה38[[#This Row],[מרק]]*טבלה38[[#This Row],[מחיר ליח'' כולל ]]</f>
        <v>0</v>
      </c>
      <c r="AI170" s="666">
        <f>טבלה38[[#This Row],[ערב בישול 1]]*טבלה38[[#This Row],[מחיר ליח'' כולל ]]</f>
        <v>0</v>
      </c>
      <c r="AJ170" s="666">
        <f>טבלה38[[#This Row],[ערב בישול 2]]*טבלה38[[#This Row],[מחיר ליח'' כולל ]]</f>
        <v>0</v>
      </c>
      <c r="AK170" s="666">
        <f>טבלה38[[#This Row],[ערב בישול 3]]*טבלה38[[#This Row],[מחיר ליח'' כולל ]]</f>
        <v>0</v>
      </c>
      <c r="AL170" s="666">
        <f>טבלה38[[#This Row],[ערב קטן 1]]*טבלה38[[#This Row],[מחיר ליח'' כולל ]]</f>
        <v>0</v>
      </c>
      <c r="AM170" s="666">
        <f>טבלה38[[#This Row],[ערב קטן 2]]*טבלה38[[#This Row],[מחיר ליח'' כולל ]]</f>
        <v>0</v>
      </c>
      <c r="AN170" s="666">
        <f>טבלה38[[#This Row],[ערב קטן 3]]*טבלה38[[#This Row],[מחיר ליח'' כולל ]]</f>
        <v>0</v>
      </c>
      <c r="AO170" s="666">
        <f>טבלה38[[#This Row],[קיטים מיוחדים]]*טבלה38[[#This Row],[מחיר ליח'' כולל ]]</f>
        <v>0</v>
      </c>
      <c r="AP170" s="666">
        <f>טבלה38[[#This Row],[תוספות]]*טבלה38[[#This Row],[מחיר ליח'' כולל ]]</f>
        <v>0</v>
      </c>
    </row>
    <row r="171" spans="2:42" ht="14.4">
      <c r="B171" s="651">
        <v>8966</v>
      </c>
      <c r="C171" s="650" t="s">
        <v>1072</v>
      </c>
      <c r="D171" s="650" t="s">
        <v>602</v>
      </c>
      <c r="E171" s="650"/>
      <c r="F171" s="649" t="str">
        <f>IF(טבלה38[[#This Row],[סה"כ]]&gt;0,טבלה38[[#This Row],[סה"כ]],"")</f>
        <v/>
      </c>
      <c r="G171" s="656">
        <v>0.17</v>
      </c>
      <c r="H171" s="655">
        <f>טבלה38[[#This Row],[מחיר]]+טבלה38[[#This Row],[% מע"מ]]*טבלה38[[#This Row],[מחיר]]</f>
        <v>0</v>
      </c>
      <c r="I171" s="630">
        <f>טבלה38[[#This Row],[סה"כ]]*טבלה38[[#This Row],[מחיר ליח'' כולל ]]</f>
        <v>0</v>
      </c>
      <c r="J171" s="655">
        <f>SUM(טבלה38[[#This Row],[פימת קפה]:[תוספות]])</f>
        <v>0</v>
      </c>
      <c r="K171" s="655">
        <f>SUMIF(טבלה11517[מקט],טבלה38[[#This Row],[קוד מוצר]],טבלה11517[כמות])</f>
        <v>0</v>
      </c>
      <c r="L171" s="655">
        <f>SUMIF(טבלה115179[מקט],טבלה38[[#This Row],[קוד מוצר]],טבלה115179[כמות])</f>
        <v>0</v>
      </c>
      <c r="M171" s="655">
        <f>SUMIF(טבלה115[מקט],טבלה38[[#This Row],[קוד מוצר]],טבלה115[כמות])</f>
        <v>0</v>
      </c>
      <c r="N171" s="655">
        <f>SUMIF(טבלה1[מק"ט],טבלה38[[#This Row],[קוד מוצר]],טבלה1[כמות])</f>
        <v>0</v>
      </c>
      <c r="O171" s="655">
        <f>SUMIF(טבלה8[מק"ט],טבלה38[[#This Row],[קוד מוצר]],טבלה8[הזמנה])</f>
        <v>0</v>
      </c>
      <c r="P171" s="655">
        <f>SUMIF(טבלה15[מק"ט],טבלה38[[#This Row],[קוד מוצר]],טבלה15[הזמנה])</f>
        <v>0</v>
      </c>
      <c r="Q171" s="655">
        <f>SUMIF(טבלה1151718[מקט],טבלה38[[#This Row],[קוד מוצר]],טבלה1151718[כמות])</f>
        <v>0</v>
      </c>
      <c r="R171" s="655">
        <f>SUMIF(טבלה125[מקט],טבלה38[[#This Row],[קוד מוצר]],טבלה125[כמות])</f>
        <v>0</v>
      </c>
      <c r="S171" s="655">
        <f>SUMIF(טבלה33[מק"ט],טבלה38[[#This Row],[קוד מוצר]],טבלה33[הזמנה])</f>
        <v>0</v>
      </c>
      <c r="T171" s="655">
        <f>SUMIF(טבלה34[עמודה1],טבלה38[[#This Row],[קוד מוצר]],טבלה34[הזמנה])</f>
        <v>0</v>
      </c>
      <c r="U171" s="655">
        <f>SUMIF(טבלה35[עמודה1],טבלה38[[#This Row],[קוד מוצר]],טבלה35[הזמנה])</f>
        <v>0</v>
      </c>
      <c r="V171" s="655">
        <f>SUMIF(טבלה3338[מק"ט],טבלה38[[#This Row],[קוד מוצר]],טבלה3338[הזמנה])</f>
        <v>0</v>
      </c>
      <c r="W171" s="655">
        <f>SUMIF(טבלה3540[עמודה1],טבלה38[[#This Row],[קוד מוצר]],טבלה3540[הזמנה])</f>
        <v>0</v>
      </c>
      <c r="X171" s="655">
        <f>SUMIF(טבלה3441[עמודה1],טבלה38[[#This Row],[קוד מוצר]],טבלה3441[הזמנה])</f>
        <v>0</v>
      </c>
      <c r="Y171" s="655">
        <f>SUMIF(טבלה24[מקט],טבלה38[[#This Row],[קוד מוצר]],טבלה24[כמות])</f>
        <v>0</v>
      </c>
      <c r="Z171" s="655">
        <f>SUMIF(טבלה628[קוד מוצר],טבלה38[[#This Row],[קוד מוצר]],טבלה628[תוספת])</f>
        <v>0</v>
      </c>
      <c r="AA171" s="610">
        <f>טבלה38[[#This Row],[פימת קפה]]*טבלה38[[#This Row],[מחיר ליח'' כולל ]]</f>
        <v>0</v>
      </c>
      <c r="AB171" s="610">
        <f>טבלה38[[#This Row],[פת שחרית]]*טבלה38[[#This Row],[מחיר ליח'' כולל ]]</f>
        <v>0</v>
      </c>
      <c r="AC171" s="610">
        <f>טבלה38[[#This Row],[א. בוקר פריסה]]*טבלה38[[#This Row],[מחיר ליח'' כולל ]]</f>
        <v>0</v>
      </c>
      <c r="AD171" s="666">
        <f>טבלה38[[#This Row],[א. צהררים פריסה ]]*טבלה38[[#This Row],[מחיר ליח'' כולל ]]</f>
        <v>0</v>
      </c>
      <c r="AE171" s="666">
        <f>טבלה38[[#This Row],[בוקר קיטים]]*טבלה38[[#This Row],[מחיר ליח'' כולל ]]</f>
        <v>0</v>
      </c>
      <c r="AF171" s="666">
        <f>טבלה38[[#This Row],[צהריים קיטים]]*טבלה38[[#This Row],[מחיר ליח'' כולל ]]</f>
        <v>0</v>
      </c>
      <c r="AG171" s="666">
        <f>טבלה38[[#This Row],[פריסת אמצע]]*טבלה38[[#This Row],[מחיר ליח'' כולל ]]</f>
        <v>0</v>
      </c>
      <c r="AH171" s="666">
        <f>טבלה38[[#This Row],[מרק]]*טבלה38[[#This Row],[מחיר ליח'' כולל ]]</f>
        <v>0</v>
      </c>
      <c r="AI171" s="666">
        <f>טבלה38[[#This Row],[ערב בישול 1]]*טבלה38[[#This Row],[מחיר ליח'' כולל ]]</f>
        <v>0</v>
      </c>
      <c r="AJ171" s="666">
        <f>טבלה38[[#This Row],[ערב בישול 2]]*טבלה38[[#This Row],[מחיר ליח'' כולל ]]</f>
        <v>0</v>
      </c>
      <c r="AK171" s="666">
        <f>טבלה38[[#This Row],[ערב בישול 3]]*טבלה38[[#This Row],[מחיר ליח'' כולל ]]</f>
        <v>0</v>
      </c>
      <c r="AL171" s="666">
        <f>טבלה38[[#This Row],[ערב קטן 1]]*טבלה38[[#This Row],[מחיר ליח'' כולל ]]</f>
        <v>0</v>
      </c>
      <c r="AM171" s="666">
        <f>טבלה38[[#This Row],[ערב קטן 2]]*טבלה38[[#This Row],[מחיר ליח'' כולל ]]</f>
        <v>0</v>
      </c>
      <c r="AN171" s="666">
        <f>טבלה38[[#This Row],[ערב קטן 3]]*טבלה38[[#This Row],[מחיר ליח'' כולל ]]</f>
        <v>0</v>
      </c>
      <c r="AO171" s="666">
        <f>טבלה38[[#This Row],[קיטים מיוחדים]]*טבלה38[[#This Row],[מחיר ליח'' כולל ]]</f>
        <v>0</v>
      </c>
      <c r="AP171" s="666">
        <f>טבלה38[[#This Row],[תוספות]]*טבלה38[[#This Row],[מחיר ליח'' כולל ]]</f>
        <v>0</v>
      </c>
    </row>
    <row r="172" spans="2:42" ht="14.4">
      <c r="B172" s="651">
        <v>9001</v>
      </c>
      <c r="C172" s="650" t="s">
        <v>1145</v>
      </c>
      <c r="E172" s="650"/>
      <c r="F172" s="649" t="str">
        <f>IF(טבלה38[[#This Row],[סה"כ]]&gt;0,טבלה38[[#This Row],[סה"כ]],"")</f>
        <v/>
      </c>
      <c r="G172" s="656">
        <v>0.17</v>
      </c>
      <c r="H172" s="655">
        <f>טבלה38[[#This Row],[מחיר]]+טבלה38[[#This Row],[% מע"מ]]*טבלה38[[#This Row],[מחיר]]</f>
        <v>0</v>
      </c>
      <c r="I172" s="630">
        <f>טבלה38[[#This Row],[סה"כ]]*טבלה38[[#This Row],[מחיר ליח'' כולל ]]</f>
        <v>0</v>
      </c>
      <c r="J172" s="655">
        <f>SUM(טבלה38[[#This Row],[פימת קפה]:[תוספות]])</f>
        <v>0</v>
      </c>
      <c r="K172" s="655">
        <f>SUMIF(טבלה11517[מקט],טבלה38[[#This Row],[קוד מוצר]],טבלה11517[כמות])</f>
        <v>0</v>
      </c>
      <c r="L172" s="655">
        <f>SUMIF(טבלה115179[מקט],טבלה38[[#This Row],[קוד מוצר]],טבלה115179[כמות])</f>
        <v>0</v>
      </c>
      <c r="M172" s="655">
        <f>SUMIF(טבלה115[מקט],טבלה38[[#This Row],[קוד מוצר]],טבלה115[כמות])</f>
        <v>0</v>
      </c>
      <c r="N172" s="655">
        <f>SUMIF(טבלה1[מק"ט],טבלה38[[#This Row],[קוד מוצר]],טבלה1[כמות])</f>
        <v>0</v>
      </c>
      <c r="O172" s="655">
        <f>SUMIF(טבלה8[מק"ט],טבלה38[[#This Row],[קוד מוצר]],טבלה8[הזמנה])</f>
        <v>0</v>
      </c>
      <c r="P172" s="655">
        <f>SUMIF(טבלה15[מק"ט],טבלה38[[#This Row],[קוד מוצר]],טבלה15[הזמנה])</f>
        <v>0</v>
      </c>
      <c r="Q172" s="655">
        <f>SUMIF(טבלה1151718[מקט],טבלה38[[#This Row],[קוד מוצר]],טבלה1151718[כמות])</f>
        <v>0</v>
      </c>
      <c r="R172" s="655">
        <f>SUMIF(טבלה125[מקט],טבלה38[[#This Row],[קוד מוצר]],טבלה125[כמות])</f>
        <v>0</v>
      </c>
      <c r="S172" s="655">
        <f>SUMIF(טבלה33[מק"ט],טבלה38[[#This Row],[קוד מוצר]],טבלה33[הזמנה])</f>
        <v>0</v>
      </c>
      <c r="T172" s="655">
        <f>SUMIF(טבלה34[עמודה1],טבלה38[[#This Row],[קוד מוצר]],טבלה34[הזמנה])</f>
        <v>0</v>
      </c>
      <c r="U172" s="655">
        <f>SUMIF(טבלה35[עמודה1],טבלה38[[#This Row],[קוד מוצר]],טבלה35[הזמנה])</f>
        <v>0</v>
      </c>
      <c r="V172" s="655">
        <f>SUMIF(טבלה3338[מק"ט],טבלה38[[#This Row],[קוד מוצר]],טבלה3338[הזמנה])</f>
        <v>0</v>
      </c>
      <c r="W172" s="655">
        <f>SUMIF(טבלה3540[עמודה1],טבלה38[[#This Row],[קוד מוצר]],טבלה3540[הזמנה])</f>
        <v>0</v>
      </c>
      <c r="X172" s="655">
        <f>SUMIF(טבלה3441[עמודה1],טבלה38[[#This Row],[קוד מוצר]],טבלה3441[הזמנה])</f>
        <v>0</v>
      </c>
      <c r="Y172" s="655">
        <f>SUMIF(טבלה24[מקט],טבלה38[[#This Row],[קוד מוצר]],טבלה24[כמות])</f>
        <v>0</v>
      </c>
      <c r="Z172" s="655">
        <f>SUMIF(טבלה628[קוד מוצר],טבלה38[[#This Row],[קוד מוצר]],טבלה628[תוספת])</f>
        <v>0</v>
      </c>
      <c r="AA172" s="610">
        <f>טבלה38[[#This Row],[פימת קפה]]*טבלה38[[#This Row],[מחיר ליח'' כולל ]]</f>
        <v>0</v>
      </c>
      <c r="AB172" s="610">
        <f>טבלה38[[#This Row],[פת שחרית]]*טבלה38[[#This Row],[מחיר ליח'' כולל ]]</f>
        <v>0</v>
      </c>
      <c r="AC172" s="610">
        <f>טבלה38[[#This Row],[א. בוקר פריסה]]*טבלה38[[#This Row],[מחיר ליח'' כולל ]]</f>
        <v>0</v>
      </c>
      <c r="AD172" s="666">
        <f>טבלה38[[#This Row],[א. צהררים פריסה ]]*טבלה38[[#This Row],[מחיר ליח'' כולל ]]</f>
        <v>0</v>
      </c>
      <c r="AE172" s="666">
        <f>טבלה38[[#This Row],[בוקר קיטים]]*טבלה38[[#This Row],[מחיר ליח'' כולל ]]</f>
        <v>0</v>
      </c>
      <c r="AF172" s="666">
        <f>טבלה38[[#This Row],[צהריים קיטים]]*טבלה38[[#This Row],[מחיר ליח'' כולל ]]</f>
        <v>0</v>
      </c>
      <c r="AG172" s="666">
        <f>טבלה38[[#This Row],[פריסת אמצע]]*טבלה38[[#This Row],[מחיר ליח'' כולל ]]</f>
        <v>0</v>
      </c>
      <c r="AH172" s="666">
        <f>טבלה38[[#This Row],[מרק]]*טבלה38[[#This Row],[מחיר ליח'' כולל ]]</f>
        <v>0</v>
      </c>
      <c r="AI172" s="666">
        <f>טבלה38[[#This Row],[ערב בישול 1]]*טבלה38[[#This Row],[מחיר ליח'' כולל ]]</f>
        <v>0</v>
      </c>
      <c r="AJ172" s="666">
        <f>טבלה38[[#This Row],[ערב בישול 2]]*טבלה38[[#This Row],[מחיר ליח'' כולל ]]</f>
        <v>0</v>
      </c>
      <c r="AK172" s="666">
        <f>טבלה38[[#This Row],[ערב בישול 3]]*טבלה38[[#This Row],[מחיר ליח'' כולל ]]</f>
        <v>0</v>
      </c>
      <c r="AL172" s="666">
        <f>טבלה38[[#This Row],[ערב קטן 1]]*טבלה38[[#This Row],[מחיר ליח'' כולל ]]</f>
        <v>0</v>
      </c>
      <c r="AM172" s="666">
        <f>טבלה38[[#This Row],[ערב קטן 2]]*טבלה38[[#This Row],[מחיר ליח'' כולל ]]</f>
        <v>0</v>
      </c>
      <c r="AN172" s="666">
        <f>טבלה38[[#This Row],[ערב קטן 3]]*טבלה38[[#This Row],[מחיר ליח'' כולל ]]</f>
        <v>0</v>
      </c>
      <c r="AO172" s="666">
        <f>טבלה38[[#This Row],[קיטים מיוחדים]]*טבלה38[[#This Row],[מחיר ליח'' כולל ]]</f>
        <v>0</v>
      </c>
      <c r="AP172" s="666">
        <f>טבלה38[[#This Row],[תוספות]]*טבלה38[[#This Row],[מחיר ליח'' כולל ]]</f>
        <v>0</v>
      </c>
    </row>
    <row r="173" spans="2:42" ht="14.4">
      <c r="B173" s="651">
        <v>9003</v>
      </c>
      <c r="C173" s="650" t="s">
        <v>1155</v>
      </c>
      <c r="E173" s="650"/>
      <c r="F173" s="649" t="str">
        <f>IF(טבלה38[[#This Row],[סה"כ]]&gt;0,טבלה38[[#This Row],[סה"כ]],"")</f>
        <v/>
      </c>
      <c r="G173" s="656">
        <v>0.17</v>
      </c>
      <c r="H173" s="655">
        <f>טבלה38[[#This Row],[מחיר]]+טבלה38[[#This Row],[% מע"מ]]*טבלה38[[#This Row],[מחיר]]</f>
        <v>0</v>
      </c>
      <c r="I173" s="630">
        <f>טבלה38[[#This Row],[סה"כ]]*טבלה38[[#This Row],[מחיר ליח'' כולל ]]</f>
        <v>0</v>
      </c>
      <c r="J173" s="655">
        <f>SUM(טבלה38[[#This Row],[פימת קפה]:[תוספות]])</f>
        <v>0</v>
      </c>
      <c r="K173" s="655">
        <f>SUMIF(טבלה11517[מקט],טבלה38[[#This Row],[קוד מוצר]],טבלה11517[כמות])</f>
        <v>0</v>
      </c>
      <c r="L173" s="655">
        <f>SUMIF(טבלה115179[מקט],טבלה38[[#This Row],[קוד מוצר]],טבלה115179[כמות])</f>
        <v>0</v>
      </c>
      <c r="M173" s="655">
        <f>SUMIF(טבלה115[מקט],טבלה38[[#This Row],[קוד מוצר]],טבלה115[כמות])</f>
        <v>0</v>
      </c>
      <c r="N173" s="655">
        <f>SUMIF(טבלה1[מק"ט],טבלה38[[#This Row],[קוד מוצר]],טבלה1[כמות])</f>
        <v>0</v>
      </c>
      <c r="O173" s="655">
        <f>SUMIF(טבלה8[מק"ט],טבלה38[[#This Row],[קוד מוצר]],טבלה8[הזמנה])</f>
        <v>0</v>
      </c>
      <c r="P173" s="655">
        <f>SUMIF(טבלה15[מק"ט],טבלה38[[#This Row],[קוד מוצר]],טבלה15[הזמנה])</f>
        <v>0</v>
      </c>
      <c r="Q173" s="655">
        <f>SUMIF(טבלה1151718[מקט],טבלה38[[#This Row],[קוד מוצר]],טבלה1151718[כמות])</f>
        <v>0</v>
      </c>
      <c r="R173" s="655">
        <f>SUMIF(טבלה125[מקט],טבלה38[[#This Row],[קוד מוצר]],טבלה125[כמות])</f>
        <v>0</v>
      </c>
      <c r="S173" s="655">
        <f>SUMIF(טבלה33[מק"ט],טבלה38[[#This Row],[קוד מוצר]],טבלה33[הזמנה])</f>
        <v>0</v>
      </c>
      <c r="T173" s="655">
        <f>SUMIF(טבלה34[עמודה1],טבלה38[[#This Row],[קוד מוצר]],טבלה34[הזמנה])</f>
        <v>0</v>
      </c>
      <c r="U173" s="655">
        <f>SUMIF(טבלה35[עמודה1],טבלה38[[#This Row],[קוד מוצר]],טבלה35[הזמנה])</f>
        <v>0</v>
      </c>
      <c r="V173" s="655">
        <f>SUMIF(טבלה3338[מק"ט],טבלה38[[#This Row],[קוד מוצר]],טבלה3338[הזמנה])</f>
        <v>0</v>
      </c>
      <c r="W173" s="655">
        <f>SUMIF(טבלה3540[עמודה1],טבלה38[[#This Row],[קוד מוצר]],טבלה3540[הזמנה])</f>
        <v>0</v>
      </c>
      <c r="X173" s="655">
        <f>SUMIF(טבלה3441[עמודה1],טבלה38[[#This Row],[קוד מוצר]],טבלה3441[הזמנה])</f>
        <v>0</v>
      </c>
      <c r="Y173" s="655">
        <f>SUMIF(טבלה24[מקט],טבלה38[[#This Row],[קוד מוצר]],טבלה24[כמות])</f>
        <v>0</v>
      </c>
      <c r="Z173" s="655">
        <f>SUMIF(טבלה628[קוד מוצר],טבלה38[[#This Row],[קוד מוצר]],טבלה628[תוספת])</f>
        <v>0</v>
      </c>
      <c r="AA173" s="610">
        <f>טבלה38[[#This Row],[פימת קפה]]*טבלה38[[#This Row],[מחיר ליח'' כולל ]]</f>
        <v>0</v>
      </c>
      <c r="AB173" s="610">
        <f>טבלה38[[#This Row],[פת שחרית]]*טבלה38[[#This Row],[מחיר ליח'' כולל ]]</f>
        <v>0</v>
      </c>
      <c r="AC173" s="610">
        <f>טבלה38[[#This Row],[א. בוקר פריסה]]*טבלה38[[#This Row],[מחיר ליח'' כולל ]]</f>
        <v>0</v>
      </c>
      <c r="AD173" s="666">
        <f>טבלה38[[#This Row],[א. צהררים פריסה ]]*טבלה38[[#This Row],[מחיר ליח'' כולל ]]</f>
        <v>0</v>
      </c>
      <c r="AE173" s="666">
        <f>טבלה38[[#This Row],[בוקר קיטים]]*טבלה38[[#This Row],[מחיר ליח'' כולל ]]</f>
        <v>0</v>
      </c>
      <c r="AF173" s="666">
        <f>טבלה38[[#This Row],[צהריים קיטים]]*טבלה38[[#This Row],[מחיר ליח'' כולל ]]</f>
        <v>0</v>
      </c>
      <c r="AG173" s="666">
        <f>טבלה38[[#This Row],[פריסת אמצע]]*טבלה38[[#This Row],[מחיר ליח'' כולל ]]</f>
        <v>0</v>
      </c>
      <c r="AH173" s="666">
        <f>טבלה38[[#This Row],[מרק]]*טבלה38[[#This Row],[מחיר ליח'' כולל ]]</f>
        <v>0</v>
      </c>
      <c r="AI173" s="666">
        <f>טבלה38[[#This Row],[ערב בישול 1]]*טבלה38[[#This Row],[מחיר ליח'' כולל ]]</f>
        <v>0</v>
      </c>
      <c r="AJ173" s="666">
        <f>טבלה38[[#This Row],[ערב בישול 2]]*טבלה38[[#This Row],[מחיר ליח'' כולל ]]</f>
        <v>0</v>
      </c>
      <c r="AK173" s="666">
        <f>טבלה38[[#This Row],[ערב בישול 3]]*טבלה38[[#This Row],[מחיר ליח'' כולל ]]</f>
        <v>0</v>
      </c>
      <c r="AL173" s="666">
        <f>טבלה38[[#This Row],[ערב קטן 1]]*טבלה38[[#This Row],[מחיר ליח'' כולל ]]</f>
        <v>0</v>
      </c>
      <c r="AM173" s="666">
        <f>טבלה38[[#This Row],[ערב קטן 2]]*טבלה38[[#This Row],[מחיר ליח'' כולל ]]</f>
        <v>0</v>
      </c>
      <c r="AN173" s="666">
        <f>טבלה38[[#This Row],[ערב קטן 3]]*טבלה38[[#This Row],[מחיר ליח'' כולל ]]</f>
        <v>0</v>
      </c>
      <c r="AO173" s="666">
        <f>טבלה38[[#This Row],[קיטים מיוחדים]]*טבלה38[[#This Row],[מחיר ליח'' כולל ]]</f>
        <v>0</v>
      </c>
      <c r="AP173" s="666">
        <f>טבלה38[[#This Row],[תוספות]]*טבלה38[[#This Row],[מחיר ליח'' כולל ]]</f>
        <v>0</v>
      </c>
    </row>
    <row r="174" spans="2:42" ht="14.4">
      <c r="B174" s="651">
        <v>9072</v>
      </c>
      <c r="C174" s="650" t="s">
        <v>1073</v>
      </c>
      <c r="E174" s="650"/>
      <c r="F174" s="649" t="str">
        <f>IF(טבלה38[[#This Row],[סה"כ]]&gt;0,טבלה38[[#This Row],[סה"כ]],"")</f>
        <v/>
      </c>
      <c r="G174" s="656">
        <v>0.17</v>
      </c>
      <c r="H174" s="655">
        <f>טבלה38[[#This Row],[מחיר]]+טבלה38[[#This Row],[% מע"מ]]*טבלה38[[#This Row],[מחיר]]</f>
        <v>0</v>
      </c>
      <c r="I174" s="630">
        <f>טבלה38[[#This Row],[סה"כ]]*טבלה38[[#This Row],[מחיר ליח'' כולל ]]</f>
        <v>0</v>
      </c>
      <c r="J174" s="655">
        <f>SUM(טבלה38[[#This Row],[פימת קפה]:[תוספות]])</f>
        <v>0</v>
      </c>
      <c r="K174" s="655">
        <f>SUMIF(טבלה11517[מקט],טבלה38[[#This Row],[קוד מוצר]],טבלה11517[כמות])</f>
        <v>0</v>
      </c>
      <c r="L174" s="655">
        <f>SUMIF(טבלה115179[מקט],טבלה38[[#This Row],[קוד מוצר]],טבלה115179[כמות])</f>
        <v>0</v>
      </c>
      <c r="M174" s="655">
        <f>SUMIF(טבלה115[מקט],טבלה38[[#This Row],[קוד מוצר]],טבלה115[כמות])</f>
        <v>0</v>
      </c>
      <c r="N174" s="655">
        <f>SUMIF(טבלה1[מק"ט],טבלה38[[#This Row],[קוד מוצר]],טבלה1[כמות])</f>
        <v>0</v>
      </c>
      <c r="O174" s="655">
        <f>SUMIF(טבלה8[מק"ט],טבלה38[[#This Row],[קוד מוצר]],טבלה8[הזמנה])</f>
        <v>0</v>
      </c>
      <c r="P174" s="655">
        <f>SUMIF(טבלה15[מק"ט],טבלה38[[#This Row],[קוד מוצר]],טבלה15[הזמנה])</f>
        <v>0</v>
      </c>
      <c r="Q174" s="655">
        <f>SUMIF(טבלה1151718[מקט],טבלה38[[#This Row],[קוד מוצר]],טבלה1151718[כמות])</f>
        <v>0</v>
      </c>
      <c r="R174" s="655">
        <f>SUMIF(טבלה125[מקט],טבלה38[[#This Row],[קוד מוצר]],טבלה125[כמות])</f>
        <v>0</v>
      </c>
      <c r="S174" s="655">
        <f>SUMIF(טבלה33[מק"ט],טבלה38[[#This Row],[קוד מוצר]],טבלה33[הזמנה])</f>
        <v>0</v>
      </c>
      <c r="T174" s="655">
        <f>SUMIF(טבלה34[עמודה1],טבלה38[[#This Row],[קוד מוצר]],טבלה34[הזמנה])</f>
        <v>0</v>
      </c>
      <c r="U174" s="655">
        <f>SUMIF(טבלה35[עמודה1],טבלה38[[#This Row],[קוד מוצר]],טבלה35[הזמנה])</f>
        <v>0</v>
      </c>
      <c r="V174" s="655">
        <f>SUMIF(טבלה3338[מק"ט],טבלה38[[#This Row],[קוד מוצר]],טבלה3338[הזמנה])</f>
        <v>0</v>
      </c>
      <c r="W174" s="655">
        <f>SUMIF(טבלה3540[עמודה1],טבלה38[[#This Row],[קוד מוצר]],טבלה3540[הזמנה])</f>
        <v>0</v>
      </c>
      <c r="X174" s="655">
        <f>SUMIF(טבלה3441[עמודה1],טבלה38[[#This Row],[קוד מוצר]],טבלה3441[הזמנה])</f>
        <v>0</v>
      </c>
      <c r="Y174" s="655">
        <f>SUMIF(טבלה24[מקט],טבלה38[[#This Row],[קוד מוצר]],טבלה24[כמות])</f>
        <v>0</v>
      </c>
      <c r="Z174" s="655">
        <f>SUMIF(טבלה628[קוד מוצר],טבלה38[[#This Row],[קוד מוצר]],טבלה628[תוספת])</f>
        <v>0</v>
      </c>
      <c r="AA174" s="610">
        <f>טבלה38[[#This Row],[פימת קפה]]*טבלה38[[#This Row],[מחיר ליח'' כולל ]]</f>
        <v>0</v>
      </c>
      <c r="AB174" s="610">
        <f>טבלה38[[#This Row],[פת שחרית]]*טבלה38[[#This Row],[מחיר ליח'' כולל ]]</f>
        <v>0</v>
      </c>
      <c r="AC174" s="610">
        <f>טבלה38[[#This Row],[א. בוקר פריסה]]*טבלה38[[#This Row],[מחיר ליח'' כולל ]]</f>
        <v>0</v>
      </c>
      <c r="AD174" s="666">
        <f>טבלה38[[#This Row],[א. צהררים פריסה ]]*טבלה38[[#This Row],[מחיר ליח'' כולל ]]</f>
        <v>0</v>
      </c>
      <c r="AE174" s="666">
        <f>טבלה38[[#This Row],[בוקר קיטים]]*טבלה38[[#This Row],[מחיר ליח'' כולל ]]</f>
        <v>0</v>
      </c>
      <c r="AF174" s="666">
        <f>טבלה38[[#This Row],[צהריים קיטים]]*טבלה38[[#This Row],[מחיר ליח'' כולל ]]</f>
        <v>0</v>
      </c>
      <c r="AG174" s="666">
        <f>טבלה38[[#This Row],[פריסת אמצע]]*טבלה38[[#This Row],[מחיר ליח'' כולל ]]</f>
        <v>0</v>
      </c>
      <c r="AH174" s="666">
        <f>טבלה38[[#This Row],[מרק]]*טבלה38[[#This Row],[מחיר ליח'' כולל ]]</f>
        <v>0</v>
      </c>
      <c r="AI174" s="666">
        <f>טבלה38[[#This Row],[ערב בישול 1]]*טבלה38[[#This Row],[מחיר ליח'' כולל ]]</f>
        <v>0</v>
      </c>
      <c r="AJ174" s="666">
        <f>טבלה38[[#This Row],[ערב בישול 2]]*טבלה38[[#This Row],[מחיר ליח'' כולל ]]</f>
        <v>0</v>
      </c>
      <c r="AK174" s="666">
        <f>טבלה38[[#This Row],[ערב בישול 3]]*טבלה38[[#This Row],[מחיר ליח'' כולל ]]</f>
        <v>0</v>
      </c>
      <c r="AL174" s="666">
        <f>טבלה38[[#This Row],[ערב קטן 1]]*טבלה38[[#This Row],[מחיר ליח'' כולל ]]</f>
        <v>0</v>
      </c>
      <c r="AM174" s="666">
        <f>טבלה38[[#This Row],[ערב קטן 2]]*טבלה38[[#This Row],[מחיר ליח'' כולל ]]</f>
        <v>0</v>
      </c>
      <c r="AN174" s="666">
        <f>טבלה38[[#This Row],[ערב קטן 3]]*טבלה38[[#This Row],[מחיר ליח'' כולל ]]</f>
        <v>0</v>
      </c>
      <c r="AO174" s="666">
        <f>טבלה38[[#This Row],[קיטים מיוחדים]]*טבלה38[[#This Row],[מחיר ליח'' כולל ]]</f>
        <v>0</v>
      </c>
      <c r="AP174" s="666">
        <f>טבלה38[[#This Row],[תוספות]]*טבלה38[[#This Row],[מחיר ליח'' כולל ]]</f>
        <v>0</v>
      </c>
    </row>
    <row r="175" spans="2:42" ht="14.4">
      <c r="B175" s="651">
        <v>9167</v>
      </c>
      <c r="C175" s="650" t="s">
        <v>1087</v>
      </c>
      <c r="E175" s="650"/>
      <c r="F175" s="649" t="str">
        <f>IF(טבלה38[[#This Row],[סה"כ]]&gt;0,טבלה38[[#This Row],[סה"כ]],"")</f>
        <v/>
      </c>
      <c r="G175" s="656">
        <v>0.17</v>
      </c>
      <c r="H175" s="655">
        <f>טבלה38[[#This Row],[מחיר]]+טבלה38[[#This Row],[% מע"מ]]*טבלה38[[#This Row],[מחיר]]</f>
        <v>0</v>
      </c>
      <c r="I175" s="630">
        <f>טבלה38[[#This Row],[סה"כ]]*טבלה38[[#This Row],[מחיר ליח'' כולל ]]</f>
        <v>0</v>
      </c>
      <c r="J175" s="655">
        <f>SUM(טבלה38[[#This Row],[פימת קפה]:[תוספות]])</f>
        <v>0</v>
      </c>
      <c r="K175" s="655">
        <f>SUMIF(טבלה11517[מקט],טבלה38[[#This Row],[קוד מוצר]],טבלה11517[כמות])</f>
        <v>0</v>
      </c>
      <c r="L175" s="655">
        <f>SUMIF(טבלה115179[מקט],טבלה38[[#This Row],[קוד מוצר]],טבלה115179[כמות])</f>
        <v>0</v>
      </c>
      <c r="M175" s="655">
        <f>SUMIF(טבלה115[מקט],טבלה38[[#This Row],[קוד מוצר]],טבלה115[כמות])</f>
        <v>0</v>
      </c>
      <c r="N175" s="655">
        <f>SUMIF(טבלה1[מק"ט],טבלה38[[#This Row],[קוד מוצר]],טבלה1[כמות])</f>
        <v>0</v>
      </c>
      <c r="O175" s="655">
        <f>SUMIF(טבלה8[מק"ט],טבלה38[[#This Row],[קוד מוצר]],טבלה8[הזמנה])</f>
        <v>0</v>
      </c>
      <c r="P175" s="655">
        <f>SUMIF(טבלה15[מק"ט],טבלה38[[#This Row],[קוד מוצר]],טבלה15[הזמנה])</f>
        <v>0</v>
      </c>
      <c r="Q175" s="655">
        <f>SUMIF(טבלה1151718[מקט],טבלה38[[#This Row],[קוד מוצר]],טבלה1151718[כמות])</f>
        <v>0</v>
      </c>
      <c r="R175" s="655">
        <f>SUMIF(טבלה125[מקט],טבלה38[[#This Row],[קוד מוצר]],טבלה125[כמות])</f>
        <v>0</v>
      </c>
      <c r="S175" s="655">
        <f>SUMIF(טבלה33[מק"ט],טבלה38[[#This Row],[קוד מוצר]],טבלה33[הזמנה])</f>
        <v>0</v>
      </c>
      <c r="T175" s="655">
        <f>SUMIF(טבלה34[עמודה1],טבלה38[[#This Row],[קוד מוצר]],טבלה34[הזמנה])</f>
        <v>0</v>
      </c>
      <c r="U175" s="655">
        <f>SUMIF(טבלה35[עמודה1],טבלה38[[#This Row],[קוד מוצר]],טבלה35[הזמנה])</f>
        <v>0</v>
      </c>
      <c r="V175" s="655">
        <f>SUMIF(טבלה3338[מק"ט],טבלה38[[#This Row],[קוד מוצר]],טבלה3338[הזמנה])</f>
        <v>0</v>
      </c>
      <c r="W175" s="655">
        <f>SUMIF(טבלה3540[עמודה1],טבלה38[[#This Row],[קוד מוצר]],טבלה3540[הזמנה])</f>
        <v>0</v>
      </c>
      <c r="X175" s="655">
        <f>SUMIF(טבלה3441[עמודה1],טבלה38[[#This Row],[קוד מוצר]],טבלה3441[הזמנה])</f>
        <v>0</v>
      </c>
      <c r="Y175" s="655">
        <f>SUMIF(טבלה24[מקט],טבלה38[[#This Row],[קוד מוצר]],טבלה24[כמות])</f>
        <v>0</v>
      </c>
      <c r="Z175" s="655">
        <f>SUMIF(טבלה628[קוד מוצר],טבלה38[[#This Row],[קוד מוצר]],טבלה628[תוספת])</f>
        <v>0</v>
      </c>
      <c r="AA175" s="610">
        <f>טבלה38[[#This Row],[פימת קפה]]*טבלה38[[#This Row],[מחיר ליח'' כולל ]]</f>
        <v>0</v>
      </c>
      <c r="AB175" s="610">
        <f>טבלה38[[#This Row],[פת שחרית]]*טבלה38[[#This Row],[מחיר ליח'' כולל ]]</f>
        <v>0</v>
      </c>
      <c r="AC175" s="610">
        <f>טבלה38[[#This Row],[א. בוקר פריסה]]*טבלה38[[#This Row],[מחיר ליח'' כולל ]]</f>
        <v>0</v>
      </c>
      <c r="AD175" s="666">
        <f>טבלה38[[#This Row],[א. צהררים פריסה ]]*טבלה38[[#This Row],[מחיר ליח'' כולל ]]</f>
        <v>0</v>
      </c>
      <c r="AE175" s="666">
        <f>טבלה38[[#This Row],[בוקר קיטים]]*טבלה38[[#This Row],[מחיר ליח'' כולל ]]</f>
        <v>0</v>
      </c>
      <c r="AF175" s="666">
        <f>טבלה38[[#This Row],[צהריים קיטים]]*טבלה38[[#This Row],[מחיר ליח'' כולל ]]</f>
        <v>0</v>
      </c>
      <c r="AG175" s="666">
        <f>טבלה38[[#This Row],[פריסת אמצע]]*טבלה38[[#This Row],[מחיר ליח'' כולל ]]</f>
        <v>0</v>
      </c>
      <c r="AH175" s="666">
        <f>טבלה38[[#This Row],[מרק]]*טבלה38[[#This Row],[מחיר ליח'' כולל ]]</f>
        <v>0</v>
      </c>
      <c r="AI175" s="666">
        <f>טבלה38[[#This Row],[ערב בישול 1]]*טבלה38[[#This Row],[מחיר ליח'' כולל ]]</f>
        <v>0</v>
      </c>
      <c r="AJ175" s="666">
        <f>טבלה38[[#This Row],[ערב בישול 2]]*טבלה38[[#This Row],[מחיר ליח'' כולל ]]</f>
        <v>0</v>
      </c>
      <c r="AK175" s="666">
        <f>טבלה38[[#This Row],[ערב בישול 3]]*טבלה38[[#This Row],[מחיר ליח'' כולל ]]</f>
        <v>0</v>
      </c>
      <c r="AL175" s="666">
        <f>טבלה38[[#This Row],[ערב קטן 1]]*טבלה38[[#This Row],[מחיר ליח'' כולל ]]</f>
        <v>0</v>
      </c>
      <c r="AM175" s="666">
        <f>טבלה38[[#This Row],[ערב קטן 2]]*טבלה38[[#This Row],[מחיר ליח'' כולל ]]</f>
        <v>0</v>
      </c>
      <c r="AN175" s="666">
        <f>טבלה38[[#This Row],[ערב קטן 3]]*טבלה38[[#This Row],[מחיר ליח'' כולל ]]</f>
        <v>0</v>
      </c>
      <c r="AO175" s="666">
        <f>טבלה38[[#This Row],[קיטים מיוחדים]]*טבלה38[[#This Row],[מחיר ליח'' כולל ]]</f>
        <v>0</v>
      </c>
      <c r="AP175" s="666">
        <f>טבלה38[[#This Row],[תוספות]]*טבלה38[[#This Row],[מחיר ליח'' כולל ]]</f>
        <v>0</v>
      </c>
    </row>
    <row r="176" spans="2:42" ht="14.4">
      <c r="B176" s="651">
        <v>9171</v>
      </c>
      <c r="C176" s="650" t="s">
        <v>1048</v>
      </c>
      <c r="E176" s="650"/>
      <c r="F176" s="649" t="str">
        <f>IF(טבלה38[[#This Row],[סה"כ]]&gt;0,טבלה38[[#This Row],[סה"כ]],"")</f>
        <v/>
      </c>
      <c r="G176" s="656">
        <v>0.17</v>
      </c>
      <c r="H176" s="655">
        <f>טבלה38[[#This Row],[מחיר]]+טבלה38[[#This Row],[% מע"מ]]*טבלה38[[#This Row],[מחיר]]</f>
        <v>0</v>
      </c>
      <c r="I176" s="630">
        <f>טבלה38[[#This Row],[סה"כ]]*טבלה38[[#This Row],[מחיר ליח'' כולל ]]</f>
        <v>0</v>
      </c>
      <c r="J176" s="655">
        <f>SUM(טבלה38[[#This Row],[פימת קפה]:[תוספות]])</f>
        <v>0</v>
      </c>
      <c r="K176" s="655">
        <f>SUMIF(טבלה11517[מקט],טבלה38[[#This Row],[קוד מוצר]],טבלה11517[כמות])</f>
        <v>0</v>
      </c>
      <c r="L176" s="655">
        <f>SUMIF(טבלה115179[מקט],טבלה38[[#This Row],[קוד מוצר]],טבלה115179[כמות])</f>
        <v>0</v>
      </c>
      <c r="M176" s="655">
        <f>SUMIF(טבלה115[מקט],טבלה38[[#This Row],[קוד מוצר]],טבלה115[כמות])</f>
        <v>0</v>
      </c>
      <c r="N176" s="655">
        <f>SUMIF(טבלה1[מק"ט],טבלה38[[#This Row],[קוד מוצר]],טבלה1[כמות])</f>
        <v>0</v>
      </c>
      <c r="O176" s="655">
        <f>SUMIF(טבלה8[מק"ט],טבלה38[[#This Row],[קוד מוצר]],טבלה8[הזמנה])</f>
        <v>0</v>
      </c>
      <c r="P176" s="655">
        <f>SUMIF(טבלה15[מק"ט],טבלה38[[#This Row],[קוד מוצר]],טבלה15[הזמנה])</f>
        <v>0</v>
      </c>
      <c r="Q176" s="655">
        <f>SUMIF(טבלה1151718[מקט],טבלה38[[#This Row],[קוד מוצר]],טבלה1151718[כמות])</f>
        <v>0</v>
      </c>
      <c r="R176" s="655">
        <f>SUMIF(טבלה125[מקט],טבלה38[[#This Row],[קוד מוצר]],טבלה125[כמות])</f>
        <v>0</v>
      </c>
      <c r="S176" s="655">
        <f>SUMIF(טבלה33[מק"ט],טבלה38[[#This Row],[קוד מוצר]],טבלה33[הזמנה])</f>
        <v>0</v>
      </c>
      <c r="T176" s="655">
        <f>SUMIF(טבלה34[עמודה1],טבלה38[[#This Row],[קוד מוצר]],טבלה34[הזמנה])</f>
        <v>0</v>
      </c>
      <c r="U176" s="655">
        <f>SUMIF(טבלה35[עמודה1],טבלה38[[#This Row],[קוד מוצר]],טבלה35[הזמנה])</f>
        <v>0</v>
      </c>
      <c r="V176" s="655">
        <f>SUMIF(טבלה3338[מק"ט],טבלה38[[#This Row],[קוד מוצר]],טבלה3338[הזמנה])</f>
        <v>0</v>
      </c>
      <c r="W176" s="655">
        <f>SUMIF(טבלה3540[עמודה1],טבלה38[[#This Row],[קוד מוצר]],טבלה3540[הזמנה])</f>
        <v>0</v>
      </c>
      <c r="X176" s="655">
        <f>SUMIF(טבלה3441[עמודה1],טבלה38[[#This Row],[קוד מוצר]],טבלה3441[הזמנה])</f>
        <v>0</v>
      </c>
      <c r="Y176" s="655">
        <f>SUMIF(טבלה24[מקט],טבלה38[[#This Row],[קוד מוצר]],טבלה24[כמות])</f>
        <v>0</v>
      </c>
      <c r="Z176" s="655">
        <f>SUMIF(טבלה628[קוד מוצר],טבלה38[[#This Row],[קוד מוצר]],טבלה628[תוספת])</f>
        <v>0</v>
      </c>
      <c r="AA176" s="610">
        <f>טבלה38[[#This Row],[פימת קפה]]*טבלה38[[#This Row],[מחיר ליח'' כולל ]]</f>
        <v>0</v>
      </c>
      <c r="AB176" s="610">
        <f>טבלה38[[#This Row],[פת שחרית]]*טבלה38[[#This Row],[מחיר ליח'' כולל ]]</f>
        <v>0</v>
      </c>
      <c r="AC176" s="610">
        <f>טבלה38[[#This Row],[א. בוקר פריסה]]*טבלה38[[#This Row],[מחיר ליח'' כולל ]]</f>
        <v>0</v>
      </c>
      <c r="AD176" s="666">
        <f>טבלה38[[#This Row],[א. צהררים פריסה ]]*טבלה38[[#This Row],[מחיר ליח'' כולל ]]</f>
        <v>0</v>
      </c>
      <c r="AE176" s="666">
        <f>טבלה38[[#This Row],[בוקר קיטים]]*טבלה38[[#This Row],[מחיר ליח'' כולל ]]</f>
        <v>0</v>
      </c>
      <c r="AF176" s="666">
        <f>טבלה38[[#This Row],[צהריים קיטים]]*טבלה38[[#This Row],[מחיר ליח'' כולל ]]</f>
        <v>0</v>
      </c>
      <c r="AG176" s="666">
        <f>טבלה38[[#This Row],[פריסת אמצע]]*טבלה38[[#This Row],[מחיר ליח'' כולל ]]</f>
        <v>0</v>
      </c>
      <c r="AH176" s="666">
        <f>טבלה38[[#This Row],[מרק]]*טבלה38[[#This Row],[מחיר ליח'' כולל ]]</f>
        <v>0</v>
      </c>
      <c r="AI176" s="666">
        <f>טבלה38[[#This Row],[ערב בישול 1]]*טבלה38[[#This Row],[מחיר ליח'' כולל ]]</f>
        <v>0</v>
      </c>
      <c r="AJ176" s="666">
        <f>טבלה38[[#This Row],[ערב בישול 2]]*טבלה38[[#This Row],[מחיר ליח'' כולל ]]</f>
        <v>0</v>
      </c>
      <c r="AK176" s="666">
        <f>טבלה38[[#This Row],[ערב בישול 3]]*טבלה38[[#This Row],[מחיר ליח'' כולל ]]</f>
        <v>0</v>
      </c>
      <c r="AL176" s="666">
        <f>טבלה38[[#This Row],[ערב קטן 1]]*טבלה38[[#This Row],[מחיר ליח'' כולל ]]</f>
        <v>0</v>
      </c>
      <c r="AM176" s="666">
        <f>טבלה38[[#This Row],[ערב קטן 2]]*טבלה38[[#This Row],[מחיר ליח'' כולל ]]</f>
        <v>0</v>
      </c>
      <c r="AN176" s="666">
        <f>טבלה38[[#This Row],[ערב קטן 3]]*טבלה38[[#This Row],[מחיר ליח'' כולל ]]</f>
        <v>0</v>
      </c>
      <c r="AO176" s="666">
        <f>טבלה38[[#This Row],[קיטים מיוחדים]]*טבלה38[[#This Row],[מחיר ליח'' כולל ]]</f>
        <v>0</v>
      </c>
      <c r="AP176" s="666">
        <f>טבלה38[[#This Row],[תוספות]]*טבלה38[[#This Row],[מחיר ליח'' כולל ]]</f>
        <v>0</v>
      </c>
    </row>
    <row r="177" spans="2:42" ht="15.6">
      <c r="B177" s="651">
        <v>9260</v>
      </c>
      <c r="C177" s="650" t="s">
        <v>1037</v>
      </c>
      <c r="D177" s="650" t="s">
        <v>240</v>
      </c>
      <c r="E177" s="650"/>
      <c r="F177" s="652" t="str">
        <f>IF(טבלה38[[#This Row],[סה"כ]]&gt;0,טבלה38[[#This Row],[סה"כ]],"")</f>
        <v/>
      </c>
      <c r="G177" s="656">
        <v>0.17</v>
      </c>
      <c r="H177" s="655">
        <f>טבלה38[[#This Row],[מחיר]]+טבלה38[[#This Row],[% מע"מ]]*טבלה38[[#This Row],[מחיר]]</f>
        <v>0</v>
      </c>
      <c r="I177" s="630">
        <f>טבלה38[[#This Row],[סה"כ]]*טבלה38[[#This Row],[מחיר ליח'' כולל ]]</f>
        <v>0</v>
      </c>
      <c r="J177" s="655">
        <f>SUM(טבלה38[[#This Row],[פימת קפה]:[תוספות]])</f>
        <v>0</v>
      </c>
      <c r="K177" s="655">
        <f>SUMIF(טבלה11517[מקט],טבלה38[[#This Row],[קוד מוצר]],טבלה11517[כמות])</f>
        <v>0</v>
      </c>
      <c r="L177" s="655">
        <f>SUMIF(טבלה115179[מקט],טבלה38[[#This Row],[קוד מוצר]],טבלה115179[כמות])</f>
        <v>0</v>
      </c>
      <c r="M177" s="655">
        <f>SUMIF(טבלה115[מקט],טבלה38[[#This Row],[קוד מוצר]],טבלה115[כמות])</f>
        <v>0</v>
      </c>
      <c r="N177" s="655">
        <f>SUMIF(טבלה1[מק"ט],טבלה38[[#This Row],[קוד מוצר]],טבלה1[כמות])</f>
        <v>0</v>
      </c>
      <c r="O177" s="655">
        <f>SUMIF(טבלה8[מק"ט],טבלה38[[#This Row],[קוד מוצר]],טבלה8[הזמנה])</f>
        <v>0</v>
      </c>
      <c r="P177" s="655">
        <f>SUMIF(טבלה15[מק"ט],טבלה38[[#This Row],[קוד מוצר]],טבלה15[הזמנה])</f>
        <v>0</v>
      </c>
      <c r="Q177" s="655">
        <f>SUMIF(טבלה1151718[מקט],טבלה38[[#This Row],[קוד מוצר]],טבלה1151718[כמות])</f>
        <v>0</v>
      </c>
      <c r="R177" s="655">
        <f>SUMIF(טבלה125[מקט],טבלה38[[#This Row],[קוד מוצר]],טבלה125[כמות])</f>
        <v>0</v>
      </c>
      <c r="S177" s="655">
        <f>SUMIF(טבלה33[מק"ט],טבלה38[[#This Row],[קוד מוצר]],טבלה33[הזמנה])</f>
        <v>0</v>
      </c>
      <c r="T177" s="655">
        <f>SUMIF(טבלה34[עמודה1],טבלה38[[#This Row],[קוד מוצר]],טבלה34[הזמנה])</f>
        <v>0</v>
      </c>
      <c r="U177" s="655">
        <f>SUMIF(טבלה35[עמודה1],טבלה38[[#This Row],[קוד מוצר]],טבלה35[הזמנה])</f>
        <v>0</v>
      </c>
      <c r="V177" s="655">
        <f>SUMIF(טבלה3338[מק"ט],טבלה38[[#This Row],[קוד מוצר]],טבלה3338[הזמנה])</f>
        <v>0</v>
      </c>
      <c r="W177" s="655">
        <f>SUMIF(טבלה3540[עמודה1],טבלה38[[#This Row],[קוד מוצר]],טבלה3540[הזמנה])</f>
        <v>0</v>
      </c>
      <c r="X177" s="655">
        <f>SUMIF(טבלה3441[עמודה1],טבלה38[[#This Row],[קוד מוצר]],טבלה3441[הזמנה])</f>
        <v>0</v>
      </c>
      <c r="Y177" s="655">
        <f>SUMIF(טבלה24[מקט],טבלה38[[#This Row],[קוד מוצר]],טבלה24[כמות])</f>
        <v>0</v>
      </c>
      <c r="Z177" s="655">
        <f>SUMIF(טבלה628[קוד מוצר],טבלה38[[#This Row],[קוד מוצר]],טבלה628[תוספת])</f>
        <v>0</v>
      </c>
      <c r="AA177" s="610">
        <f>טבלה38[[#This Row],[פימת קפה]]*טבלה38[[#This Row],[מחיר ליח'' כולל ]]</f>
        <v>0</v>
      </c>
      <c r="AB177" s="610">
        <f>טבלה38[[#This Row],[פת שחרית]]*טבלה38[[#This Row],[מחיר ליח'' כולל ]]</f>
        <v>0</v>
      </c>
      <c r="AC177" s="610">
        <f>טבלה38[[#This Row],[א. בוקר פריסה]]*טבלה38[[#This Row],[מחיר ליח'' כולל ]]</f>
        <v>0</v>
      </c>
      <c r="AD177" s="666">
        <f>טבלה38[[#This Row],[א. צהררים פריסה ]]*טבלה38[[#This Row],[מחיר ליח'' כולל ]]</f>
        <v>0</v>
      </c>
      <c r="AE177" s="666">
        <f>טבלה38[[#This Row],[בוקר קיטים]]*טבלה38[[#This Row],[מחיר ליח'' כולל ]]</f>
        <v>0</v>
      </c>
      <c r="AF177" s="666">
        <f>טבלה38[[#This Row],[צהריים קיטים]]*טבלה38[[#This Row],[מחיר ליח'' כולל ]]</f>
        <v>0</v>
      </c>
      <c r="AG177" s="666">
        <f>טבלה38[[#This Row],[פריסת אמצע]]*טבלה38[[#This Row],[מחיר ליח'' כולל ]]</f>
        <v>0</v>
      </c>
      <c r="AH177" s="666">
        <f>טבלה38[[#This Row],[מרק]]*טבלה38[[#This Row],[מחיר ליח'' כולל ]]</f>
        <v>0</v>
      </c>
      <c r="AI177" s="666">
        <f>טבלה38[[#This Row],[ערב בישול 1]]*טבלה38[[#This Row],[מחיר ליח'' כולל ]]</f>
        <v>0</v>
      </c>
      <c r="AJ177" s="666">
        <f>טבלה38[[#This Row],[ערב בישול 2]]*טבלה38[[#This Row],[מחיר ליח'' כולל ]]</f>
        <v>0</v>
      </c>
      <c r="AK177" s="666">
        <f>טבלה38[[#This Row],[ערב בישול 3]]*טבלה38[[#This Row],[מחיר ליח'' כולל ]]</f>
        <v>0</v>
      </c>
      <c r="AL177" s="666">
        <f>טבלה38[[#This Row],[ערב קטן 1]]*טבלה38[[#This Row],[מחיר ליח'' כולל ]]</f>
        <v>0</v>
      </c>
      <c r="AM177" s="666">
        <f>טבלה38[[#This Row],[ערב קטן 2]]*טבלה38[[#This Row],[מחיר ליח'' כולל ]]</f>
        <v>0</v>
      </c>
      <c r="AN177" s="666">
        <f>טבלה38[[#This Row],[ערב קטן 3]]*טבלה38[[#This Row],[מחיר ליח'' כולל ]]</f>
        <v>0</v>
      </c>
      <c r="AO177" s="666">
        <f>טבלה38[[#This Row],[קיטים מיוחדים]]*טבלה38[[#This Row],[מחיר ליח'' כולל ]]</f>
        <v>0</v>
      </c>
      <c r="AP177" s="666">
        <f>טבלה38[[#This Row],[תוספות]]*טבלה38[[#This Row],[מחיר ליח'' כולל ]]</f>
        <v>0</v>
      </c>
    </row>
    <row r="178" spans="2:42" ht="14.4">
      <c r="B178" s="651">
        <v>9261</v>
      </c>
      <c r="C178" s="650" t="s">
        <v>1036</v>
      </c>
      <c r="D178" s="650" t="s">
        <v>240</v>
      </c>
      <c r="E178" s="650"/>
      <c r="F178" s="650" t="str">
        <f>IF(טבלה38[[#This Row],[סה"כ]]&gt;0,טבלה38[[#This Row],[סה"כ]],"")</f>
        <v/>
      </c>
      <c r="G178" s="656">
        <v>0.17</v>
      </c>
      <c r="H178" s="655">
        <f>טבלה38[[#This Row],[מחיר]]+טבלה38[[#This Row],[% מע"מ]]*טבלה38[[#This Row],[מחיר]]</f>
        <v>0</v>
      </c>
      <c r="I178" s="630">
        <f>טבלה38[[#This Row],[סה"כ]]*טבלה38[[#This Row],[מחיר ליח'' כולל ]]</f>
        <v>0</v>
      </c>
      <c r="J178" s="655">
        <f>SUM(טבלה38[[#This Row],[פימת קפה]:[תוספות]])</f>
        <v>0</v>
      </c>
      <c r="K178" s="655">
        <f>SUMIF(טבלה11517[מקט],טבלה38[[#This Row],[קוד מוצר]],טבלה11517[כמות])</f>
        <v>0</v>
      </c>
      <c r="L178" s="655">
        <f>SUMIF(טבלה115179[מקט],טבלה38[[#This Row],[קוד מוצר]],טבלה115179[כמות])</f>
        <v>0</v>
      </c>
      <c r="M178" s="655">
        <f>SUMIF(טבלה115[מקט],טבלה38[[#This Row],[קוד מוצר]],טבלה115[כמות])</f>
        <v>0</v>
      </c>
      <c r="N178" s="655">
        <f>SUMIF(טבלה1[מק"ט],טבלה38[[#This Row],[קוד מוצר]],טבלה1[כמות])</f>
        <v>0</v>
      </c>
      <c r="O178" s="655">
        <f>SUMIF(טבלה8[מק"ט],טבלה38[[#This Row],[קוד מוצר]],טבלה8[הזמנה])</f>
        <v>0</v>
      </c>
      <c r="P178" s="655">
        <f>SUMIF(טבלה15[מק"ט],טבלה38[[#This Row],[קוד מוצר]],טבלה15[הזמנה])</f>
        <v>0</v>
      </c>
      <c r="Q178" s="655">
        <f>SUMIF(טבלה1151718[מקט],טבלה38[[#This Row],[קוד מוצר]],טבלה1151718[כמות])</f>
        <v>0</v>
      </c>
      <c r="R178" s="655">
        <f>SUMIF(טבלה125[מקט],טבלה38[[#This Row],[קוד מוצר]],טבלה125[כמות])</f>
        <v>0</v>
      </c>
      <c r="S178" s="655">
        <f>SUMIF(טבלה33[מק"ט],טבלה38[[#This Row],[קוד מוצר]],טבלה33[הזמנה])</f>
        <v>0</v>
      </c>
      <c r="T178" s="655">
        <f>SUMIF(טבלה34[עמודה1],טבלה38[[#This Row],[קוד מוצר]],טבלה34[הזמנה])</f>
        <v>0</v>
      </c>
      <c r="U178" s="655">
        <f>SUMIF(טבלה35[עמודה1],טבלה38[[#This Row],[קוד מוצר]],טבלה35[הזמנה])</f>
        <v>0</v>
      </c>
      <c r="V178" s="655">
        <f>SUMIF(טבלה3338[מק"ט],טבלה38[[#This Row],[קוד מוצר]],טבלה3338[הזמנה])</f>
        <v>0</v>
      </c>
      <c r="W178" s="655">
        <f>SUMIF(טבלה3540[עמודה1],טבלה38[[#This Row],[קוד מוצר]],טבלה3540[הזמנה])</f>
        <v>0</v>
      </c>
      <c r="X178" s="655">
        <f>SUMIF(טבלה3441[עמודה1],טבלה38[[#This Row],[קוד מוצר]],טבלה3441[הזמנה])</f>
        <v>0</v>
      </c>
      <c r="Y178" s="655">
        <f>SUMIF(טבלה24[מקט],טבלה38[[#This Row],[קוד מוצר]],טבלה24[כמות])</f>
        <v>0</v>
      </c>
      <c r="Z178" s="655">
        <f>SUMIF(טבלה628[קוד מוצר],טבלה38[[#This Row],[קוד מוצר]],טבלה628[תוספת])</f>
        <v>0</v>
      </c>
      <c r="AA178" s="610">
        <f>טבלה38[[#This Row],[פימת קפה]]*טבלה38[[#This Row],[מחיר ליח'' כולל ]]</f>
        <v>0</v>
      </c>
      <c r="AB178" s="610">
        <f>טבלה38[[#This Row],[פת שחרית]]*טבלה38[[#This Row],[מחיר ליח'' כולל ]]</f>
        <v>0</v>
      </c>
      <c r="AC178" s="610">
        <f>טבלה38[[#This Row],[א. בוקר פריסה]]*טבלה38[[#This Row],[מחיר ליח'' כולל ]]</f>
        <v>0</v>
      </c>
      <c r="AD178" s="666">
        <f>טבלה38[[#This Row],[א. צהררים פריסה ]]*טבלה38[[#This Row],[מחיר ליח'' כולל ]]</f>
        <v>0</v>
      </c>
      <c r="AE178" s="666">
        <f>טבלה38[[#This Row],[בוקר קיטים]]*טבלה38[[#This Row],[מחיר ליח'' כולל ]]</f>
        <v>0</v>
      </c>
      <c r="AF178" s="666">
        <f>טבלה38[[#This Row],[צהריים קיטים]]*טבלה38[[#This Row],[מחיר ליח'' כולל ]]</f>
        <v>0</v>
      </c>
      <c r="AG178" s="666">
        <f>טבלה38[[#This Row],[פריסת אמצע]]*טבלה38[[#This Row],[מחיר ליח'' כולל ]]</f>
        <v>0</v>
      </c>
      <c r="AH178" s="666">
        <f>טבלה38[[#This Row],[מרק]]*טבלה38[[#This Row],[מחיר ליח'' כולל ]]</f>
        <v>0</v>
      </c>
      <c r="AI178" s="666">
        <f>טבלה38[[#This Row],[ערב בישול 1]]*טבלה38[[#This Row],[מחיר ליח'' כולל ]]</f>
        <v>0</v>
      </c>
      <c r="AJ178" s="666">
        <f>טבלה38[[#This Row],[ערב בישול 2]]*טבלה38[[#This Row],[מחיר ליח'' כולל ]]</f>
        <v>0</v>
      </c>
      <c r="AK178" s="666">
        <f>טבלה38[[#This Row],[ערב בישול 3]]*טבלה38[[#This Row],[מחיר ליח'' כולל ]]</f>
        <v>0</v>
      </c>
      <c r="AL178" s="666">
        <f>טבלה38[[#This Row],[ערב קטן 1]]*טבלה38[[#This Row],[מחיר ליח'' כולל ]]</f>
        <v>0</v>
      </c>
      <c r="AM178" s="666">
        <f>טבלה38[[#This Row],[ערב קטן 2]]*טבלה38[[#This Row],[מחיר ליח'' כולל ]]</f>
        <v>0</v>
      </c>
      <c r="AN178" s="666">
        <f>טבלה38[[#This Row],[ערב קטן 3]]*טבלה38[[#This Row],[מחיר ליח'' כולל ]]</f>
        <v>0</v>
      </c>
      <c r="AO178" s="666">
        <f>טבלה38[[#This Row],[קיטים מיוחדים]]*טבלה38[[#This Row],[מחיר ליח'' כולל ]]</f>
        <v>0</v>
      </c>
      <c r="AP178" s="666">
        <f>טבלה38[[#This Row],[תוספות]]*טבלה38[[#This Row],[מחיר ליח'' כולל ]]</f>
        <v>0</v>
      </c>
    </row>
    <row r="179" spans="2:42" ht="14.4">
      <c r="B179" s="651">
        <v>9414</v>
      </c>
      <c r="C179" s="650" t="s">
        <v>1025</v>
      </c>
      <c r="E179" s="650"/>
      <c r="F179" s="649" t="str">
        <f>IF(טבלה38[[#This Row],[סה"כ]]&gt;0,טבלה38[[#This Row],[סה"כ]],"")</f>
        <v/>
      </c>
      <c r="G179" s="656">
        <v>0.17</v>
      </c>
      <c r="H179" s="655">
        <f>טבלה38[[#This Row],[מחיר]]+טבלה38[[#This Row],[% מע"מ]]*טבלה38[[#This Row],[מחיר]]</f>
        <v>0</v>
      </c>
      <c r="I179" s="630">
        <f>טבלה38[[#This Row],[סה"כ]]*טבלה38[[#This Row],[מחיר ליח'' כולל ]]</f>
        <v>0</v>
      </c>
      <c r="J179" s="655">
        <f>SUM(טבלה38[[#This Row],[פימת קפה]:[תוספות]])</f>
        <v>0</v>
      </c>
      <c r="K179" s="655">
        <f>SUMIF(טבלה11517[מקט],טבלה38[[#This Row],[קוד מוצר]],טבלה11517[כמות])</f>
        <v>0</v>
      </c>
      <c r="L179" s="655">
        <f>SUMIF(טבלה115179[מקט],טבלה38[[#This Row],[קוד מוצר]],טבלה115179[כמות])</f>
        <v>0</v>
      </c>
      <c r="M179" s="655">
        <f>SUMIF(טבלה115[מקט],טבלה38[[#This Row],[קוד מוצר]],טבלה115[כמות])</f>
        <v>0</v>
      </c>
      <c r="N179" s="655">
        <f>SUMIF(טבלה1[מק"ט],טבלה38[[#This Row],[קוד מוצר]],טבלה1[כמות])</f>
        <v>0</v>
      </c>
      <c r="O179" s="655">
        <f>SUMIF(טבלה8[מק"ט],טבלה38[[#This Row],[קוד מוצר]],טבלה8[הזמנה])</f>
        <v>0</v>
      </c>
      <c r="P179" s="655">
        <f>SUMIF(טבלה15[מק"ט],טבלה38[[#This Row],[קוד מוצר]],טבלה15[הזמנה])</f>
        <v>0</v>
      </c>
      <c r="Q179" s="655">
        <f>SUMIF(טבלה1151718[מקט],טבלה38[[#This Row],[קוד מוצר]],טבלה1151718[כמות])</f>
        <v>0</v>
      </c>
      <c r="R179" s="655">
        <f>SUMIF(טבלה125[מקט],טבלה38[[#This Row],[קוד מוצר]],טבלה125[כמות])</f>
        <v>0</v>
      </c>
      <c r="S179" s="655">
        <f>SUMIF(טבלה33[מק"ט],טבלה38[[#This Row],[קוד מוצר]],טבלה33[הזמנה])</f>
        <v>0</v>
      </c>
      <c r="T179" s="655">
        <f>SUMIF(טבלה34[עמודה1],טבלה38[[#This Row],[קוד מוצר]],טבלה34[הזמנה])</f>
        <v>0</v>
      </c>
      <c r="U179" s="655">
        <f>SUMIF(טבלה35[עמודה1],טבלה38[[#This Row],[קוד מוצר]],טבלה35[הזמנה])</f>
        <v>0</v>
      </c>
      <c r="V179" s="655">
        <f>SUMIF(טבלה3338[מק"ט],טבלה38[[#This Row],[קוד מוצר]],טבלה3338[הזמנה])</f>
        <v>0</v>
      </c>
      <c r="W179" s="655">
        <f>SUMIF(טבלה3540[עמודה1],טבלה38[[#This Row],[קוד מוצר]],טבלה3540[הזמנה])</f>
        <v>0</v>
      </c>
      <c r="X179" s="655">
        <f>SUMIF(טבלה3441[עמודה1],טבלה38[[#This Row],[קוד מוצר]],טבלה3441[הזמנה])</f>
        <v>0</v>
      </c>
      <c r="Y179" s="655">
        <f>SUMIF(טבלה24[מקט],טבלה38[[#This Row],[קוד מוצר]],טבלה24[כמות])</f>
        <v>0</v>
      </c>
      <c r="Z179" s="655">
        <f>SUMIF(טבלה628[קוד מוצר],טבלה38[[#This Row],[קוד מוצר]],טבלה628[תוספת])</f>
        <v>0</v>
      </c>
      <c r="AA179" s="610">
        <f>טבלה38[[#This Row],[פימת קפה]]*טבלה38[[#This Row],[מחיר ליח'' כולל ]]</f>
        <v>0</v>
      </c>
      <c r="AB179" s="610">
        <f>טבלה38[[#This Row],[פת שחרית]]*טבלה38[[#This Row],[מחיר ליח'' כולל ]]</f>
        <v>0</v>
      </c>
      <c r="AC179" s="610">
        <f>טבלה38[[#This Row],[א. בוקר פריסה]]*טבלה38[[#This Row],[מחיר ליח'' כולל ]]</f>
        <v>0</v>
      </c>
      <c r="AD179" s="666">
        <f>טבלה38[[#This Row],[א. צהררים פריסה ]]*טבלה38[[#This Row],[מחיר ליח'' כולל ]]</f>
        <v>0</v>
      </c>
      <c r="AE179" s="666">
        <f>טבלה38[[#This Row],[בוקר קיטים]]*טבלה38[[#This Row],[מחיר ליח'' כולל ]]</f>
        <v>0</v>
      </c>
      <c r="AF179" s="666">
        <f>טבלה38[[#This Row],[צהריים קיטים]]*טבלה38[[#This Row],[מחיר ליח'' כולל ]]</f>
        <v>0</v>
      </c>
      <c r="AG179" s="666">
        <f>טבלה38[[#This Row],[פריסת אמצע]]*טבלה38[[#This Row],[מחיר ליח'' כולל ]]</f>
        <v>0</v>
      </c>
      <c r="AH179" s="666">
        <f>טבלה38[[#This Row],[מרק]]*טבלה38[[#This Row],[מחיר ליח'' כולל ]]</f>
        <v>0</v>
      </c>
      <c r="AI179" s="666">
        <f>טבלה38[[#This Row],[ערב בישול 1]]*טבלה38[[#This Row],[מחיר ליח'' כולל ]]</f>
        <v>0</v>
      </c>
      <c r="AJ179" s="666">
        <f>טבלה38[[#This Row],[ערב בישול 2]]*טבלה38[[#This Row],[מחיר ליח'' כולל ]]</f>
        <v>0</v>
      </c>
      <c r="AK179" s="666">
        <f>טבלה38[[#This Row],[ערב בישול 3]]*טבלה38[[#This Row],[מחיר ליח'' כולל ]]</f>
        <v>0</v>
      </c>
      <c r="AL179" s="666">
        <f>טבלה38[[#This Row],[ערב קטן 1]]*טבלה38[[#This Row],[מחיר ליח'' כולל ]]</f>
        <v>0</v>
      </c>
      <c r="AM179" s="666">
        <f>טבלה38[[#This Row],[ערב קטן 2]]*טבלה38[[#This Row],[מחיר ליח'' כולל ]]</f>
        <v>0</v>
      </c>
      <c r="AN179" s="666">
        <f>טבלה38[[#This Row],[ערב קטן 3]]*טבלה38[[#This Row],[מחיר ליח'' כולל ]]</f>
        <v>0</v>
      </c>
      <c r="AO179" s="666">
        <f>טבלה38[[#This Row],[קיטים מיוחדים]]*טבלה38[[#This Row],[מחיר ליח'' כולל ]]</f>
        <v>0</v>
      </c>
      <c r="AP179" s="666">
        <f>טבלה38[[#This Row],[תוספות]]*טבלה38[[#This Row],[מחיר ליח'' כולל ]]</f>
        <v>0</v>
      </c>
    </row>
    <row r="180" spans="2:42" ht="14.4">
      <c r="B180" s="651">
        <v>9436</v>
      </c>
      <c r="C180" s="650" t="s">
        <v>1061</v>
      </c>
      <c r="D180" s="650" t="s">
        <v>602</v>
      </c>
      <c r="E180" s="650"/>
      <c r="F180" s="649" t="str">
        <f>IF(טבלה38[[#This Row],[סה"כ]]&gt;0,טבלה38[[#This Row],[סה"כ]],"")</f>
        <v/>
      </c>
      <c r="G180" s="656">
        <v>0.17</v>
      </c>
      <c r="H180" s="655">
        <f>טבלה38[[#This Row],[מחיר]]+טבלה38[[#This Row],[% מע"מ]]*טבלה38[[#This Row],[מחיר]]</f>
        <v>0</v>
      </c>
      <c r="I180" s="630">
        <f>טבלה38[[#This Row],[סה"כ]]*טבלה38[[#This Row],[מחיר ליח'' כולל ]]</f>
        <v>0</v>
      </c>
      <c r="J180" s="655">
        <f>SUM(טבלה38[[#This Row],[פימת קפה]:[תוספות]])</f>
        <v>0</v>
      </c>
      <c r="K180" s="655">
        <f>SUMIF(טבלה11517[מקט],טבלה38[[#This Row],[קוד מוצר]],טבלה11517[כמות])</f>
        <v>0</v>
      </c>
      <c r="L180" s="655">
        <f>SUMIF(טבלה115179[מקט],טבלה38[[#This Row],[קוד מוצר]],טבלה115179[כמות])</f>
        <v>0</v>
      </c>
      <c r="M180" s="655">
        <f>SUMIF(טבלה115[מקט],טבלה38[[#This Row],[קוד מוצר]],טבלה115[כמות])</f>
        <v>0</v>
      </c>
      <c r="N180" s="655">
        <f>SUMIF(טבלה1[מק"ט],טבלה38[[#This Row],[קוד מוצר]],טבלה1[כמות])</f>
        <v>0</v>
      </c>
      <c r="O180" s="655">
        <f>SUMIF(טבלה8[מק"ט],טבלה38[[#This Row],[קוד מוצר]],טבלה8[הזמנה])</f>
        <v>0</v>
      </c>
      <c r="P180" s="655">
        <f>SUMIF(טבלה15[מק"ט],טבלה38[[#This Row],[קוד מוצר]],טבלה15[הזמנה])</f>
        <v>0</v>
      </c>
      <c r="Q180" s="655">
        <f>SUMIF(טבלה1151718[מקט],טבלה38[[#This Row],[קוד מוצר]],טבלה1151718[כמות])</f>
        <v>0</v>
      </c>
      <c r="R180" s="655">
        <f>SUMIF(טבלה125[מקט],טבלה38[[#This Row],[קוד מוצר]],טבלה125[כמות])</f>
        <v>0</v>
      </c>
      <c r="S180" s="655">
        <f>SUMIF(טבלה33[מק"ט],טבלה38[[#This Row],[קוד מוצר]],טבלה33[הזמנה])</f>
        <v>0</v>
      </c>
      <c r="T180" s="655">
        <f>SUMIF(טבלה34[עמודה1],טבלה38[[#This Row],[קוד מוצר]],טבלה34[הזמנה])</f>
        <v>0</v>
      </c>
      <c r="U180" s="655">
        <f>SUMIF(טבלה35[עמודה1],טבלה38[[#This Row],[קוד מוצר]],טבלה35[הזמנה])</f>
        <v>0</v>
      </c>
      <c r="V180" s="655">
        <f>SUMIF(טבלה3338[מק"ט],טבלה38[[#This Row],[קוד מוצר]],טבלה3338[הזמנה])</f>
        <v>0</v>
      </c>
      <c r="W180" s="655">
        <f>SUMIF(טבלה3540[עמודה1],טבלה38[[#This Row],[קוד מוצר]],טבלה3540[הזמנה])</f>
        <v>0</v>
      </c>
      <c r="X180" s="655">
        <f>SUMIF(טבלה3441[עמודה1],טבלה38[[#This Row],[קוד מוצר]],טבלה3441[הזמנה])</f>
        <v>0</v>
      </c>
      <c r="Y180" s="655">
        <f>SUMIF(טבלה24[מקט],טבלה38[[#This Row],[קוד מוצר]],טבלה24[כמות])</f>
        <v>0</v>
      </c>
      <c r="Z180" s="655">
        <f>SUMIF(טבלה628[קוד מוצר],טבלה38[[#This Row],[קוד מוצר]],טבלה628[תוספת])</f>
        <v>0</v>
      </c>
      <c r="AA180" s="610">
        <f>טבלה38[[#This Row],[פימת קפה]]*טבלה38[[#This Row],[מחיר ליח'' כולל ]]</f>
        <v>0</v>
      </c>
      <c r="AB180" s="610">
        <f>טבלה38[[#This Row],[פת שחרית]]*טבלה38[[#This Row],[מחיר ליח'' כולל ]]</f>
        <v>0</v>
      </c>
      <c r="AC180" s="610">
        <f>טבלה38[[#This Row],[א. בוקר פריסה]]*טבלה38[[#This Row],[מחיר ליח'' כולל ]]</f>
        <v>0</v>
      </c>
      <c r="AD180" s="666">
        <f>טבלה38[[#This Row],[א. צהררים פריסה ]]*טבלה38[[#This Row],[מחיר ליח'' כולל ]]</f>
        <v>0</v>
      </c>
      <c r="AE180" s="666">
        <f>טבלה38[[#This Row],[בוקר קיטים]]*טבלה38[[#This Row],[מחיר ליח'' כולל ]]</f>
        <v>0</v>
      </c>
      <c r="AF180" s="666">
        <f>טבלה38[[#This Row],[צהריים קיטים]]*טבלה38[[#This Row],[מחיר ליח'' כולל ]]</f>
        <v>0</v>
      </c>
      <c r="AG180" s="666">
        <f>טבלה38[[#This Row],[פריסת אמצע]]*טבלה38[[#This Row],[מחיר ליח'' כולל ]]</f>
        <v>0</v>
      </c>
      <c r="AH180" s="666">
        <f>טבלה38[[#This Row],[מרק]]*טבלה38[[#This Row],[מחיר ליח'' כולל ]]</f>
        <v>0</v>
      </c>
      <c r="AI180" s="666">
        <f>טבלה38[[#This Row],[ערב בישול 1]]*טבלה38[[#This Row],[מחיר ליח'' כולל ]]</f>
        <v>0</v>
      </c>
      <c r="AJ180" s="666">
        <f>טבלה38[[#This Row],[ערב בישול 2]]*טבלה38[[#This Row],[מחיר ליח'' כולל ]]</f>
        <v>0</v>
      </c>
      <c r="AK180" s="666">
        <f>טבלה38[[#This Row],[ערב בישול 3]]*טבלה38[[#This Row],[מחיר ליח'' כולל ]]</f>
        <v>0</v>
      </c>
      <c r="AL180" s="666">
        <f>טבלה38[[#This Row],[ערב קטן 1]]*טבלה38[[#This Row],[מחיר ליח'' כולל ]]</f>
        <v>0</v>
      </c>
      <c r="AM180" s="666">
        <f>טבלה38[[#This Row],[ערב קטן 2]]*טבלה38[[#This Row],[מחיר ליח'' כולל ]]</f>
        <v>0</v>
      </c>
      <c r="AN180" s="666">
        <f>טבלה38[[#This Row],[ערב קטן 3]]*טבלה38[[#This Row],[מחיר ליח'' כולל ]]</f>
        <v>0</v>
      </c>
      <c r="AO180" s="666">
        <f>טבלה38[[#This Row],[קיטים מיוחדים]]*טבלה38[[#This Row],[מחיר ליח'' כולל ]]</f>
        <v>0</v>
      </c>
      <c r="AP180" s="666">
        <f>טבלה38[[#This Row],[תוספות]]*טבלה38[[#This Row],[מחיר ליח'' כולל ]]</f>
        <v>0</v>
      </c>
    </row>
    <row r="181" spans="2:42" ht="14.4">
      <c r="B181" s="651">
        <v>9534</v>
      </c>
      <c r="C181" s="650" t="s">
        <v>1150</v>
      </c>
      <c r="D181" s="650" t="s">
        <v>602</v>
      </c>
      <c r="E181" s="650"/>
      <c r="F181" s="649" t="str">
        <f>IF(טבלה38[[#This Row],[סה"כ]]&gt;0,טבלה38[[#This Row],[סה"כ]],"")</f>
        <v/>
      </c>
      <c r="G181" s="656">
        <v>0.17</v>
      </c>
      <c r="H181" s="655">
        <f>טבלה38[[#This Row],[מחיר]]+טבלה38[[#This Row],[% מע"מ]]*טבלה38[[#This Row],[מחיר]]</f>
        <v>0</v>
      </c>
      <c r="I181" s="630">
        <f>טבלה38[[#This Row],[סה"כ]]*טבלה38[[#This Row],[מחיר ליח'' כולל ]]</f>
        <v>0</v>
      </c>
      <c r="J181" s="655">
        <f>SUM(טבלה38[[#This Row],[פימת קפה]:[תוספות]])</f>
        <v>0</v>
      </c>
      <c r="K181" s="655">
        <f>SUMIF(טבלה11517[מקט],טבלה38[[#This Row],[קוד מוצר]],טבלה11517[כמות])</f>
        <v>0</v>
      </c>
      <c r="L181" s="655">
        <f>SUMIF(טבלה115179[מקט],טבלה38[[#This Row],[קוד מוצר]],טבלה115179[כמות])</f>
        <v>0</v>
      </c>
      <c r="M181" s="655">
        <f>SUMIF(טבלה115[מקט],טבלה38[[#This Row],[קוד מוצר]],טבלה115[כמות])</f>
        <v>0</v>
      </c>
      <c r="N181" s="655">
        <f>SUMIF(טבלה1[מק"ט],טבלה38[[#This Row],[קוד מוצר]],טבלה1[כמות])</f>
        <v>0</v>
      </c>
      <c r="O181" s="655">
        <f>SUMIF(טבלה8[מק"ט],טבלה38[[#This Row],[קוד מוצר]],טבלה8[הזמנה])</f>
        <v>0</v>
      </c>
      <c r="P181" s="655">
        <f>SUMIF(טבלה15[מק"ט],טבלה38[[#This Row],[קוד מוצר]],טבלה15[הזמנה])</f>
        <v>0</v>
      </c>
      <c r="Q181" s="655">
        <f>SUMIF(טבלה1151718[מקט],טבלה38[[#This Row],[קוד מוצר]],טבלה1151718[כמות])</f>
        <v>0</v>
      </c>
      <c r="R181" s="655">
        <f>SUMIF(טבלה125[מקט],טבלה38[[#This Row],[קוד מוצר]],טבלה125[כמות])</f>
        <v>0</v>
      </c>
      <c r="S181" s="655">
        <f>SUMIF(טבלה33[מק"ט],טבלה38[[#This Row],[קוד מוצר]],טבלה33[הזמנה])</f>
        <v>0</v>
      </c>
      <c r="T181" s="655">
        <f>SUMIF(טבלה34[עמודה1],טבלה38[[#This Row],[קוד מוצר]],טבלה34[הזמנה])</f>
        <v>0</v>
      </c>
      <c r="U181" s="655">
        <f>SUMIF(טבלה35[עמודה1],טבלה38[[#This Row],[קוד מוצר]],טבלה35[הזמנה])</f>
        <v>0</v>
      </c>
      <c r="V181" s="655">
        <f>SUMIF(טבלה3338[מק"ט],טבלה38[[#This Row],[קוד מוצר]],טבלה3338[הזמנה])</f>
        <v>0</v>
      </c>
      <c r="W181" s="655">
        <f>SUMIF(טבלה3540[עמודה1],טבלה38[[#This Row],[קוד מוצר]],טבלה3540[הזמנה])</f>
        <v>0</v>
      </c>
      <c r="X181" s="655">
        <f>SUMIF(טבלה3441[עמודה1],טבלה38[[#This Row],[קוד מוצר]],טבלה3441[הזמנה])</f>
        <v>0</v>
      </c>
      <c r="Y181" s="655">
        <f>SUMIF(טבלה24[מקט],טבלה38[[#This Row],[קוד מוצר]],טבלה24[כמות])</f>
        <v>0</v>
      </c>
      <c r="Z181" s="655">
        <f>SUMIF(טבלה628[קוד מוצר],טבלה38[[#This Row],[קוד מוצר]],טבלה628[תוספת])</f>
        <v>0</v>
      </c>
      <c r="AA181" s="610">
        <f>טבלה38[[#This Row],[פימת קפה]]*טבלה38[[#This Row],[מחיר ליח'' כולל ]]</f>
        <v>0</v>
      </c>
      <c r="AB181" s="610">
        <f>טבלה38[[#This Row],[פת שחרית]]*טבלה38[[#This Row],[מחיר ליח'' כולל ]]</f>
        <v>0</v>
      </c>
      <c r="AC181" s="610">
        <f>טבלה38[[#This Row],[א. בוקר פריסה]]*טבלה38[[#This Row],[מחיר ליח'' כולל ]]</f>
        <v>0</v>
      </c>
      <c r="AD181" s="666">
        <f>טבלה38[[#This Row],[א. צהררים פריסה ]]*טבלה38[[#This Row],[מחיר ליח'' כולל ]]</f>
        <v>0</v>
      </c>
      <c r="AE181" s="666">
        <f>טבלה38[[#This Row],[בוקר קיטים]]*טבלה38[[#This Row],[מחיר ליח'' כולל ]]</f>
        <v>0</v>
      </c>
      <c r="AF181" s="666">
        <f>טבלה38[[#This Row],[צהריים קיטים]]*טבלה38[[#This Row],[מחיר ליח'' כולל ]]</f>
        <v>0</v>
      </c>
      <c r="AG181" s="666">
        <f>טבלה38[[#This Row],[פריסת אמצע]]*טבלה38[[#This Row],[מחיר ליח'' כולל ]]</f>
        <v>0</v>
      </c>
      <c r="AH181" s="666">
        <f>טבלה38[[#This Row],[מרק]]*טבלה38[[#This Row],[מחיר ליח'' כולל ]]</f>
        <v>0</v>
      </c>
      <c r="AI181" s="666">
        <f>טבלה38[[#This Row],[ערב בישול 1]]*טבלה38[[#This Row],[מחיר ליח'' כולל ]]</f>
        <v>0</v>
      </c>
      <c r="AJ181" s="666">
        <f>טבלה38[[#This Row],[ערב בישול 2]]*טבלה38[[#This Row],[מחיר ליח'' כולל ]]</f>
        <v>0</v>
      </c>
      <c r="AK181" s="666">
        <f>טבלה38[[#This Row],[ערב בישול 3]]*טבלה38[[#This Row],[מחיר ליח'' כולל ]]</f>
        <v>0</v>
      </c>
      <c r="AL181" s="666">
        <f>טבלה38[[#This Row],[ערב קטן 1]]*טבלה38[[#This Row],[מחיר ליח'' כולל ]]</f>
        <v>0</v>
      </c>
      <c r="AM181" s="666">
        <f>טבלה38[[#This Row],[ערב קטן 2]]*טבלה38[[#This Row],[מחיר ליח'' כולל ]]</f>
        <v>0</v>
      </c>
      <c r="AN181" s="666">
        <f>טבלה38[[#This Row],[ערב קטן 3]]*טבלה38[[#This Row],[מחיר ליח'' כולל ]]</f>
        <v>0</v>
      </c>
      <c r="AO181" s="666">
        <f>טבלה38[[#This Row],[קיטים מיוחדים]]*טבלה38[[#This Row],[מחיר ליח'' כולל ]]</f>
        <v>0</v>
      </c>
      <c r="AP181" s="666">
        <f>טבלה38[[#This Row],[תוספות]]*טבלה38[[#This Row],[מחיר ליח'' כולל ]]</f>
        <v>0</v>
      </c>
    </row>
    <row r="182" spans="2:42" ht="14.4">
      <c r="B182" s="651">
        <v>9560</v>
      </c>
      <c r="C182" s="650" t="s">
        <v>1082</v>
      </c>
      <c r="E182" s="650"/>
      <c r="F182" s="649" t="str">
        <f>IF(טבלה38[[#This Row],[סה"כ]]&gt;0,טבלה38[[#This Row],[סה"כ]],"")</f>
        <v/>
      </c>
      <c r="G182" s="656">
        <v>0.17</v>
      </c>
      <c r="H182" s="655">
        <f>טבלה38[[#This Row],[מחיר]]+טבלה38[[#This Row],[% מע"מ]]*טבלה38[[#This Row],[מחיר]]</f>
        <v>0</v>
      </c>
      <c r="I182" s="630">
        <f>טבלה38[[#This Row],[סה"כ]]*טבלה38[[#This Row],[מחיר ליח'' כולל ]]</f>
        <v>0</v>
      </c>
      <c r="J182" s="655">
        <f>SUM(טבלה38[[#This Row],[פימת קפה]:[תוספות]])</f>
        <v>0</v>
      </c>
      <c r="K182" s="655">
        <f>SUMIF(טבלה11517[מקט],טבלה38[[#This Row],[קוד מוצר]],טבלה11517[כמות])</f>
        <v>0</v>
      </c>
      <c r="L182" s="655">
        <f>SUMIF(טבלה115179[מקט],טבלה38[[#This Row],[קוד מוצר]],טבלה115179[כמות])</f>
        <v>0</v>
      </c>
      <c r="M182" s="655">
        <f>SUMIF(טבלה115[מקט],טבלה38[[#This Row],[קוד מוצר]],טבלה115[כמות])</f>
        <v>0</v>
      </c>
      <c r="N182" s="655">
        <f>SUMIF(טבלה1[מק"ט],טבלה38[[#This Row],[קוד מוצר]],טבלה1[כמות])</f>
        <v>0</v>
      </c>
      <c r="O182" s="655">
        <f>SUMIF(טבלה8[מק"ט],טבלה38[[#This Row],[קוד מוצר]],טבלה8[הזמנה])</f>
        <v>0</v>
      </c>
      <c r="P182" s="655">
        <f>SUMIF(טבלה15[מק"ט],טבלה38[[#This Row],[קוד מוצר]],טבלה15[הזמנה])</f>
        <v>0</v>
      </c>
      <c r="Q182" s="655">
        <f>SUMIF(טבלה1151718[מקט],טבלה38[[#This Row],[קוד מוצר]],טבלה1151718[כמות])</f>
        <v>0</v>
      </c>
      <c r="R182" s="655">
        <f>SUMIF(טבלה125[מקט],טבלה38[[#This Row],[קוד מוצר]],טבלה125[כמות])</f>
        <v>0</v>
      </c>
      <c r="S182" s="655">
        <f>SUMIF(טבלה33[מק"ט],טבלה38[[#This Row],[קוד מוצר]],טבלה33[הזמנה])</f>
        <v>0</v>
      </c>
      <c r="T182" s="655">
        <f>SUMIF(טבלה34[עמודה1],טבלה38[[#This Row],[קוד מוצר]],טבלה34[הזמנה])</f>
        <v>0</v>
      </c>
      <c r="U182" s="655">
        <f>SUMIF(טבלה35[עמודה1],טבלה38[[#This Row],[קוד מוצר]],טבלה35[הזמנה])</f>
        <v>0</v>
      </c>
      <c r="V182" s="655">
        <f>SUMIF(טבלה3338[מק"ט],טבלה38[[#This Row],[קוד מוצר]],טבלה3338[הזמנה])</f>
        <v>0</v>
      </c>
      <c r="W182" s="655">
        <f>SUMIF(טבלה3540[עמודה1],טבלה38[[#This Row],[קוד מוצר]],טבלה3540[הזמנה])</f>
        <v>0</v>
      </c>
      <c r="X182" s="655">
        <f>SUMIF(טבלה3441[עמודה1],טבלה38[[#This Row],[קוד מוצר]],טבלה3441[הזמנה])</f>
        <v>0</v>
      </c>
      <c r="Y182" s="655">
        <f>SUMIF(טבלה24[מקט],טבלה38[[#This Row],[קוד מוצר]],טבלה24[כמות])</f>
        <v>0</v>
      </c>
      <c r="Z182" s="655">
        <f>SUMIF(טבלה628[קוד מוצר],טבלה38[[#This Row],[קוד מוצר]],טבלה628[תוספת])</f>
        <v>0</v>
      </c>
      <c r="AA182" s="610">
        <f>טבלה38[[#This Row],[פימת קפה]]*טבלה38[[#This Row],[מחיר ליח'' כולל ]]</f>
        <v>0</v>
      </c>
      <c r="AB182" s="610">
        <f>טבלה38[[#This Row],[פת שחרית]]*טבלה38[[#This Row],[מחיר ליח'' כולל ]]</f>
        <v>0</v>
      </c>
      <c r="AC182" s="610">
        <f>טבלה38[[#This Row],[א. בוקר פריסה]]*טבלה38[[#This Row],[מחיר ליח'' כולל ]]</f>
        <v>0</v>
      </c>
      <c r="AD182" s="666">
        <f>טבלה38[[#This Row],[א. צהררים פריסה ]]*טבלה38[[#This Row],[מחיר ליח'' כולל ]]</f>
        <v>0</v>
      </c>
      <c r="AE182" s="666">
        <f>טבלה38[[#This Row],[בוקר קיטים]]*טבלה38[[#This Row],[מחיר ליח'' כולל ]]</f>
        <v>0</v>
      </c>
      <c r="AF182" s="666">
        <f>טבלה38[[#This Row],[צהריים קיטים]]*טבלה38[[#This Row],[מחיר ליח'' כולל ]]</f>
        <v>0</v>
      </c>
      <c r="AG182" s="666">
        <f>טבלה38[[#This Row],[פריסת אמצע]]*טבלה38[[#This Row],[מחיר ליח'' כולל ]]</f>
        <v>0</v>
      </c>
      <c r="AH182" s="666">
        <f>טבלה38[[#This Row],[מרק]]*טבלה38[[#This Row],[מחיר ליח'' כולל ]]</f>
        <v>0</v>
      </c>
      <c r="AI182" s="666">
        <f>טבלה38[[#This Row],[ערב בישול 1]]*טבלה38[[#This Row],[מחיר ליח'' כולל ]]</f>
        <v>0</v>
      </c>
      <c r="AJ182" s="666">
        <f>טבלה38[[#This Row],[ערב בישול 2]]*טבלה38[[#This Row],[מחיר ליח'' כולל ]]</f>
        <v>0</v>
      </c>
      <c r="AK182" s="666">
        <f>טבלה38[[#This Row],[ערב בישול 3]]*טבלה38[[#This Row],[מחיר ליח'' כולל ]]</f>
        <v>0</v>
      </c>
      <c r="AL182" s="666">
        <f>טבלה38[[#This Row],[ערב קטן 1]]*טבלה38[[#This Row],[מחיר ליח'' כולל ]]</f>
        <v>0</v>
      </c>
      <c r="AM182" s="666">
        <f>טבלה38[[#This Row],[ערב קטן 2]]*טבלה38[[#This Row],[מחיר ליח'' כולל ]]</f>
        <v>0</v>
      </c>
      <c r="AN182" s="666">
        <f>טבלה38[[#This Row],[ערב קטן 3]]*טבלה38[[#This Row],[מחיר ליח'' כולל ]]</f>
        <v>0</v>
      </c>
      <c r="AO182" s="666">
        <f>טבלה38[[#This Row],[קיטים מיוחדים]]*טבלה38[[#This Row],[מחיר ליח'' כולל ]]</f>
        <v>0</v>
      </c>
      <c r="AP182" s="666">
        <f>טבלה38[[#This Row],[תוספות]]*טבלה38[[#This Row],[מחיר ליח'' כולל ]]</f>
        <v>0</v>
      </c>
    </row>
    <row r="183" spans="2:42" ht="14.4">
      <c r="B183" s="651">
        <v>9584</v>
      </c>
      <c r="C183" s="650" t="s">
        <v>1056</v>
      </c>
      <c r="D183" s="650" t="s">
        <v>231</v>
      </c>
      <c r="E183" s="650"/>
      <c r="F183" s="649" t="str">
        <f>IF(טבלה38[[#This Row],[סה"כ]]&gt;0,טבלה38[[#This Row],[סה"כ]],"")</f>
        <v/>
      </c>
      <c r="G183" s="656">
        <v>0.17</v>
      </c>
      <c r="H183" s="655">
        <f>טבלה38[[#This Row],[מחיר]]+טבלה38[[#This Row],[% מע"מ]]*טבלה38[[#This Row],[מחיר]]</f>
        <v>0</v>
      </c>
      <c r="I183" s="630">
        <f>טבלה38[[#This Row],[סה"כ]]*טבלה38[[#This Row],[מחיר ליח'' כולל ]]</f>
        <v>0</v>
      </c>
      <c r="J183" s="655">
        <f>SUM(טבלה38[[#This Row],[פימת קפה]:[תוספות]])</f>
        <v>0</v>
      </c>
      <c r="K183" s="655">
        <f>SUMIF(טבלה11517[מקט],טבלה38[[#This Row],[קוד מוצר]],טבלה11517[כמות])</f>
        <v>0</v>
      </c>
      <c r="L183" s="655">
        <f>SUMIF(טבלה115179[מקט],טבלה38[[#This Row],[קוד מוצר]],טבלה115179[כמות])</f>
        <v>0</v>
      </c>
      <c r="M183" s="655">
        <f>SUMIF(טבלה115[מקט],טבלה38[[#This Row],[קוד מוצר]],טבלה115[כמות])</f>
        <v>0</v>
      </c>
      <c r="N183" s="655">
        <f>SUMIF(טבלה1[מק"ט],טבלה38[[#This Row],[קוד מוצר]],טבלה1[כמות])</f>
        <v>0</v>
      </c>
      <c r="O183" s="655">
        <f>SUMIF(טבלה8[מק"ט],טבלה38[[#This Row],[קוד מוצר]],טבלה8[הזמנה])</f>
        <v>0</v>
      </c>
      <c r="P183" s="655">
        <f>SUMIF(טבלה15[מק"ט],טבלה38[[#This Row],[קוד מוצר]],טבלה15[הזמנה])</f>
        <v>0</v>
      </c>
      <c r="Q183" s="655">
        <f>SUMIF(טבלה1151718[מקט],טבלה38[[#This Row],[קוד מוצר]],טבלה1151718[כמות])</f>
        <v>0</v>
      </c>
      <c r="R183" s="655">
        <f>SUMIF(טבלה125[מקט],טבלה38[[#This Row],[קוד מוצר]],טבלה125[כמות])</f>
        <v>0</v>
      </c>
      <c r="S183" s="655">
        <f>SUMIF(טבלה33[מק"ט],טבלה38[[#This Row],[קוד מוצר]],טבלה33[הזמנה])</f>
        <v>0</v>
      </c>
      <c r="T183" s="655">
        <f>SUMIF(טבלה34[עמודה1],טבלה38[[#This Row],[קוד מוצר]],טבלה34[הזמנה])</f>
        <v>0</v>
      </c>
      <c r="U183" s="655">
        <f>SUMIF(טבלה35[עמודה1],טבלה38[[#This Row],[קוד מוצר]],טבלה35[הזמנה])</f>
        <v>0</v>
      </c>
      <c r="V183" s="655">
        <f>SUMIF(טבלה3338[מק"ט],טבלה38[[#This Row],[קוד מוצר]],טבלה3338[הזמנה])</f>
        <v>0</v>
      </c>
      <c r="W183" s="655">
        <f>SUMIF(טבלה3540[עמודה1],טבלה38[[#This Row],[קוד מוצר]],טבלה3540[הזמנה])</f>
        <v>0</v>
      </c>
      <c r="X183" s="655">
        <f>SUMIF(טבלה3441[עמודה1],טבלה38[[#This Row],[קוד מוצר]],טבלה3441[הזמנה])</f>
        <v>0</v>
      </c>
      <c r="Y183" s="655">
        <f>SUMIF(טבלה24[מקט],טבלה38[[#This Row],[קוד מוצר]],טבלה24[כמות])</f>
        <v>0</v>
      </c>
      <c r="Z183" s="655">
        <f>SUMIF(טבלה628[קוד מוצר],טבלה38[[#This Row],[קוד מוצר]],טבלה628[תוספת])</f>
        <v>0</v>
      </c>
      <c r="AA183" s="610">
        <f>טבלה38[[#This Row],[פימת קפה]]*טבלה38[[#This Row],[מחיר ליח'' כולל ]]</f>
        <v>0</v>
      </c>
      <c r="AB183" s="610">
        <f>טבלה38[[#This Row],[פת שחרית]]*טבלה38[[#This Row],[מחיר ליח'' כולל ]]</f>
        <v>0</v>
      </c>
      <c r="AC183" s="610">
        <f>טבלה38[[#This Row],[א. בוקר פריסה]]*טבלה38[[#This Row],[מחיר ליח'' כולל ]]</f>
        <v>0</v>
      </c>
      <c r="AD183" s="666">
        <f>טבלה38[[#This Row],[א. צהררים פריסה ]]*טבלה38[[#This Row],[מחיר ליח'' כולל ]]</f>
        <v>0</v>
      </c>
      <c r="AE183" s="666">
        <f>טבלה38[[#This Row],[בוקר קיטים]]*טבלה38[[#This Row],[מחיר ליח'' כולל ]]</f>
        <v>0</v>
      </c>
      <c r="AF183" s="666">
        <f>טבלה38[[#This Row],[צהריים קיטים]]*טבלה38[[#This Row],[מחיר ליח'' כולל ]]</f>
        <v>0</v>
      </c>
      <c r="AG183" s="666">
        <f>טבלה38[[#This Row],[פריסת אמצע]]*טבלה38[[#This Row],[מחיר ליח'' כולל ]]</f>
        <v>0</v>
      </c>
      <c r="AH183" s="666">
        <f>טבלה38[[#This Row],[מרק]]*טבלה38[[#This Row],[מחיר ליח'' כולל ]]</f>
        <v>0</v>
      </c>
      <c r="AI183" s="666">
        <f>טבלה38[[#This Row],[ערב בישול 1]]*טבלה38[[#This Row],[מחיר ליח'' כולל ]]</f>
        <v>0</v>
      </c>
      <c r="AJ183" s="666">
        <f>טבלה38[[#This Row],[ערב בישול 2]]*טבלה38[[#This Row],[מחיר ליח'' כולל ]]</f>
        <v>0</v>
      </c>
      <c r="AK183" s="666">
        <f>טבלה38[[#This Row],[ערב בישול 3]]*טבלה38[[#This Row],[מחיר ליח'' כולל ]]</f>
        <v>0</v>
      </c>
      <c r="AL183" s="666">
        <f>טבלה38[[#This Row],[ערב קטן 1]]*טבלה38[[#This Row],[מחיר ליח'' כולל ]]</f>
        <v>0</v>
      </c>
      <c r="AM183" s="666">
        <f>טבלה38[[#This Row],[ערב קטן 2]]*טבלה38[[#This Row],[מחיר ליח'' כולל ]]</f>
        <v>0</v>
      </c>
      <c r="AN183" s="666">
        <f>טבלה38[[#This Row],[ערב קטן 3]]*טבלה38[[#This Row],[מחיר ליח'' כולל ]]</f>
        <v>0</v>
      </c>
      <c r="AO183" s="666">
        <f>טבלה38[[#This Row],[קיטים מיוחדים]]*טבלה38[[#This Row],[מחיר ליח'' כולל ]]</f>
        <v>0</v>
      </c>
      <c r="AP183" s="666">
        <f>טבלה38[[#This Row],[תוספות]]*טבלה38[[#This Row],[מחיר ליח'' כולל ]]</f>
        <v>0</v>
      </c>
    </row>
    <row r="184" spans="2:42" ht="14.4">
      <c r="B184" s="651">
        <v>10144</v>
      </c>
      <c r="C184" s="650" t="s">
        <v>1074</v>
      </c>
      <c r="D184" s="650" t="s">
        <v>602</v>
      </c>
      <c r="E184" s="650"/>
      <c r="F184" s="649" t="str">
        <f>IF(טבלה38[[#This Row],[סה"כ]]&gt;0,טבלה38[[#This Row],[סה"כ]],"")</f>
        <v/>
      </c>
      <c r="G184" s="656">
        <v>0.17</v>
      </c>
      <c r="H184" s="655">
        <f>טבלה38[[#This Row],[מחיר]]+טבלה38[[#This Row],[% מע"מ]]*טבלה38[[#This Row],[מחיר]]</f>
        <v>0</v>
      </c>
      <c r="I184" s="630">
        <f>טבלה38[[#This Row],[סה"כ]]*טבלה38[[#This Row],[מחיר ליח'' כולל ]]</f>
        <v>0</v>
      </c>
      <c r="J184" s="655">
        <f>SUM(טבלה38[[#This Row],[פימת קפה]:[תוספות]])</f>
        <v>0</v>
      </c>
      <c r="K184" s="655">
        <f>SUMIF(טבלה11517[מקט],טבלה38[[#This Row],[קוד מוצר]],טבלה11517[כמות])</f>
        <v>0</v>
      </c>
      <c r="L184" s="655">
        <f>SUMIF(טבלה115179[מקט],טבלה38[[#This Row],[קוד מוצר]],טבלה115179[כמות])</f>
        <v>0</v>
      </c>
      <c r="M184" s="655">
        <f>SUMIF(טבלה115[מקט],טבלה38[[#This Row],[קוד מוצר]],טבלה115[כמות])</f>
        <v>0</v>
      </c>
      <c r="N184" s="655">
        <f>SUMIF(טבלה1[מק"ט],טבלה38[[#This Row],[קוד מוצר]],טבלה1[כמות])</f>
        <v>0</v>
      </c>
      <c r="O184" s="655">
        <f>SUMIF(טבלה8[מק"ט],טבלה38[[#This Row],[קוד מוצר]],טבלה8[הזמנה])</f>
        <v>0</v>
      </c>
      <c r="P184" s="655">
        <f>SUMIF(טבלה15[מק"ט],טבלה38[[#This Row],[קוד מוצר]],טבלה15[הזמנה])</f>
        <v>0</v>
      </c>
      <c r="Q184" s="655">
        <f>SUMIF(טבלה1151718[מקט],טבלה38[[#This Row],[קוד מוצר]],טבלה1151718[כמות])</f>
        <v>0</v>
      </c>
      <c r="R184" s="655">
        <f>SUMIF(טבלה125[מקט],טבלה38[[#This Row],[קוד מוצר]],טבלה125[כמות])</f>
        <v>0</v>
      </c>
      <c r="S184" s="655">
        <f>SUMIF(טבלה33[מק"ט],טבלה38[[#This Row],[קוד מוצר]],טבלה33[הזמנה])</f>
        <v>0</v>
      </c>
      <c r="T184" s="655">
        <f>SUMIF(טבלה34[עמודה1],טבלה38[[#This Row],[קוד מוצר]],טבלה34[הזמנה])</f>
        <v>0</v>
      </c>
      <c r="U184" s="655">
        <f>SUMIF(טבלה35[עמודה1],טבלה38[[#This Row],[קוד מוצר]],טבלה35[הזמנה])</f>
        <v>0</v>
      </c>
      <c r="V184" s="655">
        <f>SUMIF(טבלה3338[מק"ט],טבלה38[[#This Row],[קוד מוצר]],טבלה3338[הזמנה])</f>
        <v>0</v>
      </c>
      <c r="W184" s="655">
        <f>SUMIF(טבלה3540[עמודה1],טבלה38[[#This Row],[קוד מוצר]],טבלה3540[הזמנה])</f>
        <v>0</v>
      </c>
      <c r="X184" s="655">
        <f>SUMIF(טבלה3441[עמודה1],טבלה38[[#This Row],[קוד מוצר]],טבלה3441[הזמנה])</f>
        <v>0</v>
      </c>
      <c r="Y184" s="655">
        <f>SUMIF(טבלה24[מקט],טבלה38[[#This Row],[קוד מוצר]],טבלה24[כמות])</f>
        <v>0</v>
      </c>
      <c r="Z184" s="655">
        <f>SUMIF(טבלה628[קוד מוצר],טבלה38[[#This Row],[קוד מוצר]],טבלה628[תוספת])</f>
        <v>0</v>
      </c>
      <c r="AA184" s="610">
        <f>טבלה38[[#This Row],[פימת קפה]]*טבלה38[[#This Row],[מחיר ליח'' כולל ]]</f>
        <v>0</v>
      </c>
      <c r="AB184" s="610">
        <f>טבלה38[[#This Row],[פת שחרית]]*טבלה38[[#This Row],[מחיר ליח'' כולל ]]</f>
        <v>0</v>
      </c>
      <c r="AC184" s="610">
        <f>טבלה38[[#This Row],[א. בוקר פריסה]]*טבלה38[[#This Row],[מחיר ליח'' כולל ]]</f>
        <v>0</v>
      </c>
      <c r="AD184" s="666">
        <f>טבלה38[[#This Row],[א. צהררים פריסה ]]*טבלה38[[#This Row],[מחיר ליח'' כולל ]]</f>
        <v>0</v>
      </c>
      <c r="AE184" s="666">
        <f>טבלה38[[#This Row],[בוקר קיטים]]*טבלה38[[#This Row],[מחיר ליח'' כולל ]]</f>
        <v>0</v>
      </c>
      <c r="AF184" s="666">
        <f>טבלה38[[#This Row],[צהריים קיטים]]*טבלה38[[#This Row],[מחיר ליח'' כולל ]]</f>
        <v>0</v>
      </c>
      <c r="AG184" s="666">
        <f>טבלה38[[#This Row],[פריסת אמצע]]*טבלה38[[#This Row],[מחיר ליח'' כולל ]]</f>
        <v>0</v>
      </c>
      <c r="AH184" s="666">
        <f>טבלה38[[#This Row],[מרק]]*טבלה38[[#This Row],[מחיר ליח'' כולל ]]</f>
        <v>0</v>
      </c>
      <c r="AI184" s="666">
        <f>טבלה38[[#This Row],[ערב בישול 1]]*טבלה38[[#This Row],[מחיר ליח'' כולל ]]</f>
        <v>0</v>
      </c>
      <c r="AJ184" s="666">
        <f>טבלה38[[#This Row],[ערב בישול 2]]*טבלה38[[#This Row],[מחיר ליח'' כולל ]]</f>
        <v>0</v>
      </c>
      <c r="AK184" s="666">
        <f>טבלה38[[#This Row],[ערב בישול 3]]*טבלה38[[#This Row],[מחיר ליח'' כולל ]]</f>
        <v>0</v>
      </c>
      <c r="AL184" s="666">
        <f>טבלה38[[#This Row],[ערב קטן 1]]*טבלה38[[#This Row],[מחיר ליח'' כולל ]]</f>
        <v>0</v>
      </c>
      <c r="AM184" s="666">
        <f>טבלה38[[#This Row],[ערב קטן 2]]*טבלה38[[#This Row],[מחיר ליח'' כולל ]]</f>
        <v>0</v>
      </c>
      <c r="AN184" s="666">
        <f>טבלה38[[#This Row],[ערב קטן 3]]*טבלה38[[#This Row],[מחיר ליח'' כולל ]]</f>
        <v>0</v>
      </c>
      <c r="AO184" s="666">
        <f>טבלה38[[#This Row],[קיטים מיוחדים]]*טבלה38[[#This Row],[מחיר ליח'' כולל ]]</f>
        <v>0</v>
      </c>
      <c r="AP184" s="666">
        <f>טבלה38[[#This Row],[תוספות]]*טבלה38[[#This Row],[מחיר ליח'' כולל ]]</f>
        <v>0</v>
      </c>
    </row>
    <row r="185" spans="2:42" ht="14.4">
      <c r="B185" s="651">
        <v>10176</v>
      </c>
      <c r="C185" s="650" t="s">
        <v>1158</v>
      </c>
      <c r="D185" s="650" t="s">
        <v>231</v>
      </c>
      <c r="E185" s="650"/>
      <c r="F185" s="649" t="str">
        <f>IF(טבלה38[[#This Row],[סה"כ]]&gt;0,טבלה38[[#This Row],[סה"כ]],"")</f>
        <v/>
      </c>
      <c r="G185" s="656">
        <v>0.17</v>
      </c>
      <c r="H185" s="655">
        <f>טבלה38[[#This Row],[מחיר]]+טבלה38[[#This Row],[% מע"מ]]*טבלה38[[#This Row],[מחיר]]</f>
        <v>0</v>
      </c>
      <c r="I185" s="630">
        <f>טבלה38[[#This Row],[סה"כ]]*טבלה38[[#This Row],[מחיר ליח'' כולל ]]</f>
        <v>0</v>
      </c>
      <c r="J185" s="655">
        <f>SUM(טבלה38[[#This Row],[פימת קפה]:[תוספות]])</f>
        <v>0</v>
      </c>
      <c r="K185" s="655">
        <f>SUMIF(טבלה11517[מקט],טבלה38[[#This Row],[קוד מוצר]],טבלה11517[כמות])</f>
        <v>0</v>
      </c>
      <c r="L185" s="655">
        <f>SUMIF(טבלה115179[מקט],טבלה38[[#This Row],[קוד מוצר]],טבלה115179[כמות])</f>
        <v>0</v>
      </c>
      <c r="M185" s="655">
        <f>SUMIF(טבלה115[מקט],טבלה38[[#This Row],[קוד מוצר]],טבלה115[כמות])</f>
        <v>0</v>
      </c>
      <c r="N185" s="655">
        <f>SUMIF(טבלה1[מק"ט],טבלה38[[#This Row],[קוד מוצר]],טבלה1[כמות])</f>
        <v>0</v>
      </c>
      <c r="O185" s="655">
        <f>SUMIF(טבלה8[מק"ט],טבלה38[[#This Row],[קוד מוצר]],טבלה8[הזמנה])</f>
        <v>0</v>
      </c>
      <c r="P185" s="655">
        <f>SUMIF(טבלה15[מק"ט],טבלה38[[#This Row],[קוד מוצר]],טבלה15[הזמנה])</f>
        <v>0</v>
      </c>
      <c r="Q185" s="655">
        <f>SUMIF(טבלה1151718[מקט],טבלה38[[#This Row],[קוד מוצר]],טבלה1151718[כמות])</f>
        <v>0</v>
      </c>
      <c r="R185" s="655">
        <f>SUMIF(טבלה125[מקט],טבלה38[[#This Row],[קוד מוצר]],טבלה125[כמות])</f>
        <v>0</v>
      </c>
      <c r="S185" s="655">
        <f>SUMIF(טבלה33[מק"ט],טבלה38[[#This Row],[קוד מוצר]],טבלה33[הזמנה])</f>
        <v>0</v>
      </c>
      <c r="T185" s="655">
        <f>SUMIF(טבלה34[עמודה1],טבלה38[[#This Row],[קוד מוצר]],טבלה34[הזמנה])</f>
        <v>0</v>
      </c>
      <c r="U185" s="655">
        <f>SUMIF(טבלה35[עמודה1],טבלה38[[#This Row],[קוד מוצר]],טבלה35[הזמנה])</f>
        <v>0</v>
      </c>
      <c r="V185" s="655">
        <f>SUMIF(טבלה3338[מק"ט],טבלה38[[#This Row],[קוד מוצר]],טבלה3338[הזמנה])</f>
        <v>0</v>
      </c>
      <c r="W185" s="655">
        <f>SUMIF(טבלה3540[עמודה1],טבלה38[[#This Row],[קוד מוצר]],טבלה3540[הזמנה])</f>
        <v>0</v>
      </c>
      <c r="X185" s="655">
        <f>SUMIF(טבלה3441[עמודה1],טבלה38[[#This Row],[קוד מוצר]],טבלה3441[הזמנה])</f>
        <v>0</v>
      </c>
      <c r="Y185" s="655">
        <f>SUMIF(טבלה24[מקט],טבלה38[[#This Row],[קוד מוצר]],טבלה24[כמות])</f>
        <v>0</v>
      </c>
      <c r="Z185" s="655">
        <f>SUMIF(טבלה628[קוד מוצר],טבלה38[[#This Row],[קוד מוצר]],טבלה628[תוספת])</f>
        <v>0</v>
      </c>
      <c r="AA185" s="610">
        <f>טבלה38[[#This Row],[פימת קפה]]*טבלה38[[#This Row],[מחיר ליח'' כולל ]]</f>
        <v>0</v>
      </c>
      <c r="AB185" s="610">
        <f>טבלה38[[#This Row],[פת שחרית]]*טבלה38[[#This Row],[מחיר ליח'' כולל ]]</f>
        <v>0</v>
      </c>
      <c r="AC185" s="610">
        <f>טבלה38[[#This Row],[א. בוקר פריסה]]*טבלה38[[#This Row],[מחיר ליח'' כולל ]]</f>
        <v>0</v>
      </c>
      <c r="AD185" s="666">
        <f>טבלה38[[#This Row],[א. צהררים פריסה ]]*טבלה38[[#This Row],[מחיר ליח'' כולל ]]</f>
        <v>0</v>
      </c>
      <c r="AE185" s="666">
        <f>טבלה38[[#This Row],[בוקר קיטים]]*טבלה38[[#This Row],[מחיר ליח'' כולל ]]</f>
        <v>0</v>
      </c>
      <c r="AF185" s="666">
        <f>טבלה38[[#This Row],[צהריים קיטים]]*טבלה38[[#This Row],[מחיר ליח'' כולל ]]</f>
        <v>0</v>
      </c>
      <c r="AG185" s="666">
        <f>טבלה38[[#This Row],[פריסת אמצע]]*טבלה38[[#This Row],[מחיר ליח'' כולל ]]</f>
        <v>0</v>
      </c>
      <c r="AH185" s="666">
        <f>טבלה38[[#This Row],[מרק]]*טבלה38[[#This Row],[מחיר ליח'' כולל ]]</f>
        <v>0</v>
      </c>
      <c r="AI185" s="666">
        <f>טבלה38[[#This Row],[ערב בישול 1]]*טבלה38[[#This Row],[מחיר ליח'' כולל ]]</f>
        <v>0</v>
      </c>
      <c r="AJ185" s="666">
        <f>טבלה38[[#This Row],[ערב בישול 2]]*טבלה38[[#This Row],[מחיר ליח'' כולל ]]</f>
        <v>0</v>
      </c>
      <c r="AK185" s="666">
        <f>טבלה38[[#This Row],[ערב בישול 3]]*טבלה38[[#This Row],[מחיר ליח'' כולל ]]</f>
        <v>0</v>
      </c>
      <c r="AL185" s="666">
        <f>טבלה38[[#This Row],[ערב קטן 1]]*טבלה38[[#This Row],[מחיר ליח'' כולל ]]</f>
        <v>0</v>
      </c>
      <c r="AM185" s="666">
        <f>טבלה38[[#This Row],[ערב קטן 2]]*טבלה38[[#This Row],[מחיר ליח'' כולל ]]</f>
        <v>0</v>
      </c>
      <c r="AN185" s="666">
        <f>טבלה38[[#This Row],[ערב קטן 3]]*טבלה38[[#This Row],[מחיר ליח'' כולל ]]</f>
        <v>0</v>
      </c>
      <c r="AO185" s="666">
        <f>טבלה38[[#This Row],[קיטים מיוחדים]]*טבלה38[[#This Row],[מחיר ליח'' כולל ]]</f>
        <v>0</v>
      </c>
      <c r="AP185" s="666">
        <f>טבלה38[[#This Row],[תוספות]]*טבלה38[[#This Row],[מחיר ליח'' כולל ]]</f>
        <v>0</v>
      </c>
    </row>
    <row r="186" spans="2:42" ht="14.4">
      <c r="B186" s="651">
        <v>10213</v>
      </c>
      <c r="C186" s="650" t="s">
        <v>1086</v>
      </c>
      <c r="D186" s="650" t="s">
        <v>602</v>
      </c>
      <c r="E186" s="650"/>
      <c r="F186" s="649" t="str">
        <f>IF(טבלה38[[#This Row],[סה"כ]]&gt;0,טבלה38[[#This Row],[סה"כ]],"")</f>
        <v/>
      </c>
      <c r="G186" s="656">
        <v>0.17</v>
      </c>
      <c r="H186" s="655">
        <f>טבלה38[[#This Row],[מחיר]]+טבלה38[[#This Row],[% מע"מ]]*טבלה38[[#This Row],[מחיר]]</f>
        <v>0</v>
      </c>
      <c r="I186" s="630">
        <f>טבלה38[[#This Row],[סה"כ]]*טבלה38[[#This Row],[מחיר ליח'' כולל ]]</f>
        <v>0</v>
      </c>
      <c r="J186" s="655">
        <f>SUM(טבלה38[[#This Row],[פימת קפה]:[תוספות]])</f>
        <v>0</v>
      </c>
      <c r="K186" s="655">
        <f>SUMIF(טבלה11517[מקט],טבלה38[[#This Row],[קוד מוצר]],טבלה11517[כמות])</f>
        <v>0</v>
      </c>
      <c r="L186" s="655">
        <f>SUMIF(טבלה115179[מקט],טבלה38[[#This Row],[קוד מוצר]],טבלה115179[כמות])</f>
        <v>0</v>
      </c>
      <c r="M186" s="655">
        <f>SUMIF(טבלה115[מקט],טבלה38[[#This Row],[קוד מוצר]],טבלה115[כמות])</f>
        <v>0</v>
      </c>
      <c r="N186" s="655">
        <f>SUMIF(טבלה1[מק"ט],טבלה38[[#This Row],[קוד מוצר]],טבלה1[כמות])</f>
        <v>0</v>
      </c>
      <c r="O186" s="655">
        <f>SUMIF(טבלה8[מק"ט],טבלה38[[#This Row],[קוד מוצר]],טבלה8[הזמנה])</f>
        <v>0</v>
      </c>
      <c r="P186" s="655">
        <f>SUMIF(טבלה15[מק"ט],טבלה38[[#This Row],[קוד מוצר]],טבלה15[הזמנה])</f>
        <v>0</v>
      </c>
      <c r="Q186" s="655">
        <f>SUMIF(טבלה1151718[מקט],טבלה38[[#This Row],[קוד מוצר]],טבלה1151718[כמות])</f>
        <v>0</v>
      </c>
      <c r="R186" s="655">
        <f>SUMIF(טבלה125[מקט],טבלה38[[#This Row],[קוד מוצר]],טבלה125[כמות])</f>
        <v>0</v>
      </c>
      <c r="S186" s="655">
        <f>SUMIF(טבלה33[מק"ט],טבלה38[[#This Row],[קוד מוצר]],טבלה33[הזמנה])</f>
        <v>0</v>
      </c>
      <c r="T186" s="655">
        <f>SUMIF(טבלה34[עמודה1],טבלה38[[#This Row],[קוד מוצר]],טבלה34[הזמנה])</f>
        <v>0</v>
      </c>
      <c r="U186" s="655">
        <f>SUMIF(טבלה35[עמודה1],טבלה38[[#This Row],[קוד מוצר]],טבלה35[הזמנה])</f>
        <v>0</v>
      </c>
      <c r="V186" s="655">
        <f>SUMIF(טבלה3338[מק"ט],טבלה38[[#This Row],[קוד מוצר]],טבלה3338[הזמנה])</f>
        <v>0</v>
      </c>
      <c r="W186" s="655">
        <f>SUMIF(טבלה3540[עמודה1],טבלה38[[#This Row],[קוד מוצר]],טבלה3540[הזמנה])</f>
        <v>0</v>
      </c>
      <c r="X186" s="655">
        <f>SUMIF(טבלה3441[עמודה1],טבלה38[[#This Row],[קוד מוצר]],טבלה3441[הזמנה])</f>
        <v>0</v>
      </c>
      <c r="Y186" s="655">
        <f>SUMIF(טבלה24[מקט],טבלה38[[#This Row],[קוד מוצר]],טבלה24[כמות])</f>
        <v>0</v>
      </c>
      <c r="Z186" s="655">
        <f>SUMIF(טבלה628[קוד מוצר],טבלה38[[#This Row],[קוד מוצר]],טבלה628[תוספת])</f>
        <v>0</v>
      </c>
      <c r="AA186" s="610">
        <f>טבלה38[[#This Row],[פימת קפה]]*טבלה38[[#This Row],[מחיר ליח'' כולל ]]</f>
        <v>0</v>
      </c>
      <c r="AB186" s="610">
        <f>טבלה38[[#This Row],[פת שחרית]]*טבלה38[[#This Row],[מחיר ליח'' כולל ]]</f>
        <v>0</v>
      </c>
      <c r="AC186" s="610">
        <f>טבלה38[[#This Row],[א. בוקר פריסה]]*טבלה38[[#This Row],[מחיר ליח'' כולל ]]</f>
        <v>0</v>
      </c>
      <c r="AD186" s="666">
        <f>טבלה38[[#This Row],[א. צהררים פריסה ]]*טבלה38[[#This Row],[מחיר ליח'' כולל ]]</f>
        <v>0</v>
      </c>
      <c r="AE186" s="666">
        <f>טבלה38[[#This Row],[בוקר קיטים]]*טבלה38[[#This Row],[מחיר ליח'' כולל ]]</f>
        <v>0</v>
      </c>
      <c r="AF186" s="666">
        <f>טבלה38[[#This Row],[צהריים קיטים]]*טבלה38[[#This Row],[מחיר ליח'' כולל ]]</f>
        <v>0</v>
      </c>
      <c r="AG186" s="666">
        <f>טבלה38[[#This Row],[פריסת אמצע]]*טבלה38[[#This Row],[מחיר ליח'' כולל ]]</f>
        <v>0</v>
      </c>
      <c r="AH186" s="666">
        <f>טבלה38[[#This Row],[מרק]]*טבלה38[[#This Row],[מחיר ליח'' כולל ]]</f>
        <v>0</v>
      </c>
      <c r="AI186" s="666">
        <f>טבלה38[[#This Row],[ערב בישול 1]]*טבלה38[[#This Row],[מחיר ליח'' כולל ]]</f>
        <v>0</v>
      </c>
      <c r="AJ186" s="666">
        <f>טבלה38[[#This Row],[ערב בישול 2]]*טבלה38[[#This Row],[מחיר ליח'' כולל ]]</f>
        <v>0</v>
      </c>
      <c r="AK186" s="666">
        <f>טבלה38[[#This Row],[ערב בישול 3]]*טבלה38[[#This Row],[מחיר ליח'' כולל ]]</f>
        <v>0</v>
      </c>
      <c r="AL186" s="666">
        <f>טבלה38[[#This Row],[ערב קטן 1]]*טבלה38[[#This Row],[מחיר ליח'' כולל ]]</f>
        <v>0</v>
      </c>
      <c r="AM186" s="666">
        <f>טבלה38[[#This Row],[ערב קטן 2]]*טבלה38[[#This Row],[מחיר ליח'' כולל ]]</f>
        <v>0</v>
      </c>
      <c r="AN186" s="666">
        <f>טבלה38[[#This Row],[ערב קטן 3]]*טבלה38[[#This Row],[מחיר ליח'' כולל ]]</f>
        <v>0</v>
      </c>
      <c r="AO186" s="666">
        <f>טבלה38[[#This Row],[קיטים מיוחדים]]*טבלה38[[#This Row],[מחיר ליח'' כולל ]]</f>
        <v>0</v>
      </c>
      <c r="AP186" s="666">
        <f>טבלה38[[#This Row],[תוספות]]*טבלה38[[#This Row],[מחיר ליח'' כולל ]]</f>
        <v>0</v>
      </c>
    </row>
    <row r="187" spans="2:42" ht="14.4">
      <c r="B187" s="651">
        <v>10428</v>
      </c>
      <c r="C187" s="650" t="s">
        <v>1156</v>
      </c>
      <c r="D187" s="650" t="s">
        <v>240</v>
      </c>
      <c r="E187" s="650"/>
      <c r="F187" s="649" t="str">
        <f>IF(טבלה38[[#This Row],[סה"כ]]&gt;0,טבלה38[[#This Row],[סה"כ]],"")</f>
        <v/>
      </c>
      <c r="G187" s="656">
        <v>0.17</v>
      </c>
      <c r="H187" s="655">
        <f>טבלה38[[#This Row],[מחיר]]+טבלה38[[#This Row],[% מע"מ]]*טבלה38[[#This Row],[מחיר]]</f>
        <v>0</v>
      </c>
      <c r="I187" s="630">
        <f>טבלה38[[#This Row],[סה"כ]]*טבלה38[[#This Row],[מחיר ליח'' כולל ]]</f>
        <v>0</v>
      </c>
      <c r="J187" s="655">
        <f>SUM(טבלה38[[#This Row],[פימת קפה]:[תוספות]])</f>
        <v>0</v>
      </c>
      <c r="K187" s="655">
        <f>SUMIF(טבלה11517[מקט],טבלה38[[#This Row],[קוד מוצר]],טבלה11517[כמות])</f>
        <v>0</v>
      </c>
      <c r="L187" s="655">
        <f>SUMIF(טבלה115179[מקט],טבלה38[[#This Row],[קוד מוצר]],טבלה115179[כמות])</f>
        <v>0</v>
      </c>
      <c r="M187" s="655">
        <f>SUMIF(טבלה115[מקט],טבלה38[[#This Row],[קוד מוצר]],טבלה115[כמות])</f>
        <v>0</v>
      </c>
      <c r="N187" s="655">
        <f>SUMIF(טבלה1[מק"ט],טבלה38[[#This Row],[קוד מוצר]],טבלה1[כמות])</f>
        <v>0</v>
      </c>
      <c r="O187" s="655">
        <f>SUMIF(טבלה8[מק"ט],טבלה38[[#This Row],[קוד מוצר]],טבלה8[הזמנה])</f>
        <v>0</v>
      </c>
      <c r="P187" s="655">
        <f>SUMIF(טבלה15[מק"ט],טבלה38[[#This Row],[קוד מוצר]],טבלה15[הזמנה])</f>
        <v>0</v>
      </c>
      <c r="Q187" s="655">
        <f>SUMIF(טבלה1151718[מקט],טבלה38[[#This Row],[קוד מוצר]],טבלה1151718[כמות])</f>
        <v>0</v>
      </c>
      <c r="R187" s="655">
        <f>SUMIF(טבלה125[מקט],טבלה38[[#This Row],[קוד מוצר]],טבלה125[כמות])</f>
        <v>0</v>
      </c>
      <c r="S187" s="655">
        <f>SUMIF(טבלה33[מק"ט],טבלה38[[#This Row],[קוד מוצר]],טבלה33[הזמנה])</f>
        <v>0</v>
      </c>
      <c r="T187" s="655">
        <f>SUMIF(טבלה34[עמודה1],טבלה38[[#This Row],[קוד מוצר]],טבלה34[הזמנה])</f>
        <v>0</v>
      </c>
      <c r="U187" s="655">
        <f>SUMIF(טבלה35[עמודה1],טבלה38[[#This Row],[קוד מוצר]],טבלה35[הזמנה])</f>
        <v>0</v>
      </c>
      <c r="V187" s="655">
        <f>SUMIF(טבלה3338[מק"ט],טבלה38[[#This Row],[קוד מוצר]],טבלה3338[הזמנה])</f>
        <v>0</v>
      </c>
      <c r="W187" s="655">
        <f>SUMIF(טבלה3540[עמודה1],טבלה38[[#This Row],[קוד מוצר]],טבלה3540[הזמנה])</f>
        <v>0</v>
      </c>
      <c r="X187" s="655">
        <f>SUMIF(טבלה3441[עמודה1],טבלה38[[#This Row],[קוד מוצר]],טבלה3441[הזמנה])</f>
        <v>0</v>
      </c>
      <c r="Y187" s="655">
        <f>SUMIF(טבלה24[מקט],טבלה38[[#This Row],[קוד מוצר]],טבלה24[כמות])</f>
        <v>0</v>
      </c>
      <c r="Z187" s="655">
        <f>SUMIF(טבלה628[קוד מוצר],טבלה38[[#This Row],[קוד מוצר]],טבלה628[תוספת])</f>
        <v>0</v>
      </c>
      <c r="AA187" s="610">
        <f>טבלה38[[#This Row],[פימת קפה]]*טבלה38[[#This Row],[מחיר ליח'' כולל ]]</f>
        <v>0</v>
      </c>
      <c r="AB187" s="610">
        <f>טבלה38[[#This Row],[פת שחרית]]*טבלה38[[#This Row],[מחיר ליח'' כולל ]]</f>
        <v>0</v>
      </c>
      <c r="AC187" s="610">
        <f>טבלה38[[#This Row],[א. בוקר פריסה]]*טבלה38[[#This Row],[מחיר ליח'' כולל ]]</f>
        <v>0</v>
      </c>
      <c r="AD187" s="666">
        <f>טבלה38[[#This Row],[א. צהררים פריסה ]]*טבלה38[[#This Row],[מחיר ליח'' כולל ]]</f>
        <v>0</v>
      </c>
      <c r="AE187" s="666">
        <f>טבלה38[[#This Row],[בוקר קיטים]]*טבלה38[[#This Row],[מחיר ליח'' כולל ]]</f>
        <v>0</v>
      </c>
      <c r="AF187" s="666">
        <f>טבלה38[[#This Row],[צהריים קיטים]]*טבלה38[[#This Row],[מחיר ליח'' כולל ]]</f>
        <v>0</v>
      </c>
      <c r="AG187" s="666">
        <f>טבלה38[[#This Row],[פריסת אמצע]]*טבלה38[[#This Row],[מחיר ליח'' כולל ]]</f>
        <v>0</v>
      </c>
      <c r="AH187" s="666">
        <f>טבלה38[[#This Row],[מרק]]*טבלה38[[#This Row],[מחיר ליח'' כולל ]]</f>
        <v>0</v>
      </c>
      <c r="AI187" s="666">
        <f>טבלה38[[#This Row],[ערב בישול 1]]*טבלה38[[#This Row],[מחיר ליח'' כולל ]]</f>
        <v>0</v>
      </c>
      <c r="AJ187" s="666">
        <f>טבלה38[[#This Row],[ערב בישול 2]]*טבלה38[[#This Row],[מחיר ליח'' כולל ]]</f>
        <v>0</v>
      </c>
      <c r="AK187" s="666">
        <f>טבלה38[[#This Row],[ערב בישול 3]]*טבלה38[[#This Row],[מחיר ליח'' כולל ]]</f>
        <v>0</v>
      </c>
      <c r="AL187" s="666">
        <f>טבלה38[[#This Row],[ערב קטן 1]]*טבלה38[[#This Row],[מחיר ליח'' כולל ]]</f>
        <v>0</v>
      </c>
      <c r="AM187" s="666">
        <f>טבלה38[[#This Row],[ערב קטן 2]]*טבלה38[[#This Row],[מחיר ליח'' כולל ]]</f>
        <v>0</v>
      </c>
      <c r="AN187" s="666">
        <f>טבלה38[[#This Row],[ערב קטן 3]]*טבלה38[[#This Row],[מחיר ליח'' כולל ]]</f>
        <v>0</v>
      </c>
      <c r="AO187" s="666">
        <f>טבלה38[[#This Row],[קיטים מיוחדים]]*טבלה38[[#This Row],[מחיר ליח'' כולל ]]</f>
        <v>0</v>
      </c>
      <c r="AP187" s="666">
        <f>טבלה38[[#This Row],[תוספות]]*טבלה38[[#This Row],[מחיר ליח'' כולל ]]</f>
        <v>0</v>
      </c>
    </row>
    <row r="188" spans="2:42" ht="14.4">
      <c r="B188" s="651">
        <v>10674</v>
      </c>
      <c r="C188" s="650" t="s">
        <v>1127</v>
      </c>
      <c r="D188" s="650" t="s">
        <v>602</v>
      </c>
      <c r="E188" s="650"/>
      <c r="F188" s="649" t="str">
        <f>IF(טבלה38[[#This Row],[סה"כ]]&gt;0,טבלה38[[#This Row],[סה"כ]],"")</f>
        <v/>
      </c>
      <c r="G188" s="656">
        <v>0</v>
      </c>
      <c r="H188" s="655">
        <f>טבלה38[[#This Row],[מחיר]]+טבלה38[[#This Row],[% מע"מ]]*טבלה38[[#This Row],[מחיר]]</f>
        <v>0</v>
      </c>
      <c r="I188" s="630">
        <f>טבלה38[[#This Row],[סה"כ]]*טבלה38[[#This Row],[מחיר ליח'' כולל ]]</f>
        <v>0</v>
      </c>
      <c r="J188" s="655">
        <f>SUM(טבלה38[[#This Row],[פימת קפה]:[תוספות]])</f>
        <v>0</v>
      </c>
      <c r="K188" s="655">
        <f>SUMIF(טבלה11517[מקט],טבלה38[[#This Row],[קוד מוצר]],טבלה11517[כמות])</f>
        <v>0</v>
      </c>
      <c r="L188" s="655">
        <f>SUMIF(טבלה115179[מקט],טבלה38[[#This Row],[קוד מוצר]],טבלה115179[כמות])</f>
        <v>0</v>
      </c>
      <c r="M188" s="655">
        <f>SUMIF(טבלה115[מקט],טבלה38[[#This Row],[קוד מוצר]],טבלה115[כמות])</f>
        <v>0</v>
      </c>
      <c r="N188" s="655">
        <f>SUMIF(טבלה1[מק"ט],טבלה38[[#This Row],[קוד מוצר]],טבלה1[כמות])</f>
        <v>0</v>
      </c>
      <c r="O188" s="655">
        <f>SUMIF(טבלה8[מק"ט],טבלה38[[#This Row],[קוד מוצר]],טבלה8[הזמנה])</f>
        <v>0</v>
      </c>
      <c r="P188" s="655">
        <f>SUMIF(טבלה15[מק"ט],טבלה38[[#This Row],[קוד מוצר]],טבלה15[הזמנה])</f>
        <v>0</v>
      </c>
      <c r="Q188" s="655">
        <f>SUMIF(טבלה1151718[מקט],טבלה38[[#This Row],[קוד מוצר]],טבלה1151718[כמות])</f>
        <v>0</v>
      </c>
      <c r="R188" s="655">
        <f>SUMIF(טבלה125[מקט],טבלה38[[#This Row],[קוד מוצר]],טבלה125[כמות])</f>
        <v>0</v>
      </c>
      <c r="S188" s="655">
        <f>SUMIF(טבלה33[מק"ט],טבלה38[[#This Row],[קוד מוצר]],טבלה33[הזמנה])</f>
        <v>0</v>
      </c>
      <c r="T188" s="655">
        <f>SUMIF(טבלה34[עמודה1],טבלה38[[#This Row],[קוד מוצר]],טבלה34[הזמנה])</f>
        <v>0</v>
      </c>
      <c r="U188" s="655">
        <f>SUMIF(טבלה35[עמודה1],טבלה38[[#This Row],[קוד מוצר]],טבלה35[הזמנה])</f>
        <v>0</v>
      </c>
      <c r="V188" s="655">
        <f>SUMIF(טבלה3338[מק"ט],טבלה38[[#This Row],[קוד מוצר]],טבלה3338[הזמנה])</f>
        <v>0</v>
      </c>
      <c r="W188" s="655">
        <f>SUMIF(טבלה3540[עמודה1],טבלה38[[#This Row],[קוד מוצר]],טבלה3540[הזמנה])</f>
        <v>0</v>
      </c>
      <c r="X188" s="655">
        <f>SUMIF(טבלה3441[עמודה1],טבלה38[[#This Row],[קוד מוצר]],טבלה3441[הזמנה])</f>
        <v>0</v>
      </c>
      <c r="Y188" s="655">
        <f>SUMIF(טבלה24[מקט],טבלה38[[#This Row],[קוד מוצר]],טבלה24[כמות])</f>
        <v>0</v>
      </c>
      <c r="Z188" s="655">
        <f>SUMIF(טבלה628[קוד מוצר],טבלה38[[#This Row],[קוד מוצר]],טבלה628[תוספת])</f>
        <v>0</v>
      </c>
      <c r="AA188" s="610">
        <f>טבלה38[[#This Row],[פימת קפה]]*טבלה38[[#This Row],[מחיר ליח'' כולל ]]</f>
        <v>0</v>
      </c>
      <c r="AB188" s="610">
        <f>טבלה38[[#This Row],[פת שחרית]]*טבלה38[[#This Row],[מחיר ליח'' כולל ]]</f>
        <v>0</v>
      </c>
      <c r="AC188" s="610">
        <f>טבלה38[[#This Row],[א. בוקר פריסה]]*טבלה38[[#This Row],[מחיר ליח'' כולל ]]</f>
        <v>0</v>
      </c>
      <c r="AD188" s="666">
        <f>טבלה38[[#This Row],[א. צהררים פריסה ]]*טבלה38[[#This Row],[מחיר ליח'' כולל ]]</f>
        <v>0</v>
      </c>
      <c r="AE188" s="666">
        <f>טבלה38[[#This Row],[בוקר קיטים]]*טבלה38[[#This Row],[מחיר ליח'' כולל ]]</f>
        <v>0</v>
      </c>
      <c r="AF188" s="666">
        <f>טבלה38[[#This Row],[צהריים קיטים]]*טבלה38[[#This Row],[מחיר ליח'' כולל ]]</f>
        <v>0</v>
      </c>
      <c r="AG188" s="666">
        <f>טבלה38[[#This Row],[פריסת אמצע]]*טבלה38[[#This Row],[מחיר ליח'' כולל ]]</f>
        <v>0</v>
      </c>
      <c r="AH188" s="666">
        <f>טבלה38[[#This Row],[מרק]]*טבלה38[[#This Row],[מחיר ליח'' כולל ]]</f>
        <v>0</v>
      </c>
      <c r="AI188" s="666">
        <f>טבלה38[[#This Row],[ערב בישול 1]]*טבלה38[[#This Row],[מחיר ליח'' כולל ]]</f>
        <v>0</v>
      </c>
      <c r="AJ188" s="666">
        <f>טבלה38[[#This Row],[ערב בישול 2]]*טבלה38[[#This Row],[מחיר ליח'' כולל ]]</f>
        <v>0</v>
      </c>
      <c r="AK188" s="666">
        <f>טבלה38[[#This Row],[ערב בישול 3]]*טבלה38[[#This Row],[מחיר ליח'' כולל ]]</f>
        <v>0</v>
      </c>
      <c r="AL188" s="666">
        <f>טבלה38[[#This Row],[ערב קטן 1]]*טבלה38[[#This Row],[מחיר ליח'' כולל ]]</f>
        <v>0</v>
      </c>
      <c r="AM188" s="666">
        <f>טבלה38[[#This Row],[ערב קטן 2]]*טבלה38[[#This Row],[מחיר ליח'' כולל ]]</f>
        <v>0</v>
      </c>
      <c r="AN188" s="666">
        <f>טבלה38[[#This Row],[ערב קטן 3]]*טבלה38[[#This Row],[מחיר ליח'' כולל ]]</f>
        <v>0</v>
      </c>
      <c r="AO188" s="666">
        <f>טבלה38[[#This Row],[קיטים מיוחדים]]*טבלה38[[#This Row],[מחיר ליח'' כולל ]]</f>
        <v>0</v>
      </c>
      <c r="AP188" s="666">
        <f>טבלה38[[#This Row],[תוספות]]*טבלה38[[#This Row],[מחיר ליח'' כולל ]]</f>
        <v>0</v>
      </c>
    </row>
    <row r="189" spans="2:42" ht="14.4">
      <c r="B189" s="651">
        <v>10681</v>
      </c>
      <c r="C189" s="650" t="s">
        <v>1128</v>
      </c>
      <c r="D189" s="650" t="s">
        <v>602</v>
      </c>
      <c r="E189" s="650"/>
      <c r="F189" s="649" t="str">
        <f>IF(טבלה38[[#This Row],[סה"כ]]&gt;0,טבלה38[[#This Row],[סה"כ]],"")</f>
        <v/>
      </c>
      <c r="G189" s="656">
        <v>0</v>
      </c>
      <c r="H189" s="655">
        <f>טבלה38[[#This Row],[מחיר]]+טבלה38[[#This Row],[% מע"מ]]*טבלה38[[#This Row],[מחיר]]</f>
        <v>0</v>
      </c>
      <c r="I189" s="630">
        <f>טבלה38[[#This Row],[סה"כ]]*טבלה38[[#This Row],[מחיר ליח'' כולל ]]</f>
        <v>0</v>
      </c>
      <c r="J189" s="655">
        <f>SUM(טבלה38[[#This Row],[פימת קפה]:[תוספות]])</f>
        <v>0</v>
      </c>
      <c r="K189" s="655">
        <f>SUMIF(טבלה11517[מקט],טבלה38[[#This Row],[קוד מוצר]],טבלה11517[כמות])</f>
        <v>0</v>
      </c>
      <c r="L189" s="655">
        <f>SUMIF(טבלה115179[מקט],טבלה38[[#This Row],[קוד מוצר]],טבלה115179[כמות])</f>
        <v>0</v>
      </c>
      <c r="M189" s="655">
        <f>SUMIF(טבלה115[מקט],טבלה38[[#This Row],[קוד מוצר]],טבלה115[כמות])</f>
        <v>0</v>
      </c>
      <c r="N189" s="655">
        <f>SUMIF(טבלה1[מק"ט],טבלה38[[#This Row],[קוד מוצר]],טבלה1[כמות])</f>
        <v>0</v>
      </c>
      <c r="O189" s="655">
        <f>SUMIF(טבלה8[מק"ט],טבלה38[[#This Row],[קוד מוצר]],טבלה8[הזמנה])</f>
        <v>0</v>
      </c>
      <c r="P189" s="655">
        <f>SUMIF(טבלה15[מק"ט],טבלה38[[#This Row],[קוד מוצר]],טבלה15[הזמנה])</f>
        <v>0</v>
      </c>
      <c r="Q189" s="655">
        <f>SUMIF(טבלה1151718[מקט],טבלה38[[#This Row],[קוד מוצר]],טבלה1151718[כמות])</f>
        <v>0</v>
      </c>
      <c r="R189" s="655">
        <f>SUMIF(טבלה125[מקט],טבלה38[[#This Row],[קוד מוצר]],טבלה125[כמות])</f>
        <v>0</v>
      </c>
      <c r="S189" s="655">
        <f>SUMIF(טבלה33[מק"ט],טבלה38[[#This Row],[קוד מוצר]],טבלה33[הזמנה])</f>
        <v>0</v>
      </c>
      <c r="T189" s="655">
        <f>SUMIF(טבלה34[עמודה1],טבלה38[[#This Row],[קוד מוצר]],טבלה34[הזמנה])</f>
        <v>0</v>
      </c>
      <c r="U189" s="655">
        <f>SUMIF(טבלה35[עמודה1],טבלה38[[#This Row],[קוד מוצר]],טבלה35[הזמנה])</f>
        <v>0</v>
      </c>
      <c r="V189" s="655">
        <f>SUMIF(טבלה3338[מק"ט],טבלה38[[#This Row],[קוד מוצר]],טבלה3338[הזמנה])</f>
        <v>0</v>
      </c>
      <c r="W189" s="655">
        <f>SUMIF(טבלה3540[עמודה1],טבלה38[[#This Row],[קוד מוצר]],טבלה3540[הזמנה])</f>
        <v>0</v>
      </c>
      <c r="X189" s="655">
        <f>SUMIF(טבלה3441[עמודה1],טבלה38[[#This Row],[קוד מוצר]],טבלה3441[הזמנה])</f>
        <v>0</v>
      </c>
      <c r="Y189" s="655">
        <f>SUMIF(טבלה24[מקט],טבלה38[[#This Row],[קוד מוצר]],טבלה24[כמות])</f>
        <v>0</v>
      </c>
      <c r="Z189" s="655">
        <f>SUMIF(טבלה628[קוד מוצר],טבלה38[[#This Row],[קוד מוצר]],טבלה628[תוספת])</f>
        <v>0</v>
      </c>
      <c r="AA189" s="610">
        <f>טבלה38[[#This Row],[פימת קפה]]*טבלה38[[#This Row],[מחיר ליח'' כולל ]]</f>
        <v>0</v>
      </c>
      <c r="AB189" s="610">
        <f>טבלה38[[#This Row],[פת שחרית]]*טבלה38[[#This Row],[מחיר ליח'' כולל ]]</f>
        <v>0</v>
      </c>
      <c r="AC189" s="610">
        <f>טבלה38[[#This Row],[א. בוקר פריסה]]*טבלה38[[#This Row],[מחיר ליח'' כולל ]]</f>
        <v>0</v>
      </c>
      <c r="AD189" s="666">
        <f>טבלה38[[#This Row],[א. צהררים פריסה ]]*טבלה38[[#This Row],[מחיר ליח'' כולל ]]</f>
        <v>0</v>
      </c>
      <c r="AE189" s="666">
        <f>טבלה38[[#This Row],[בוקר קיטים]]*טבלה38[[#This Row],[מחיר ליח'' כולל ]]</f>
        <v>0</v>
      </c>
      <c r="AF189" s="666">
        <f>טבלה38[[#This Row],[צהריים קיטים]]*טבלה38[[#This Row],[מחיר ליח'' כולל ]]</f>
        <v>0</v>
      </c>
      <c r="AG189" s="666">
        <f>טבלה38[[#This Row],[פריסת אמצע]]*טבלה38[[#This Row],[מחיר ליח'' כולל ]]</f>
        <v>0</v>
      </c>
      <c r="AH189" s="666">
        <f>טבלה38[[#This Row],[מרק]]*טבלה38[[#This Row],[מחיר ליח'' כולל ]]</f>
        <v>0</v>
      </c>
      <c r="AI189" s="666">
        <f>טבלה38[[#This Row],[ערב בישול 1]]*טבלה38[[#This Row],[מחיר ליח'' כולל ]]</f>
        <v>0</v>
      </c>
      <c r="AJ189" s="666">
        <f>טבלה38[[#This Row],[ערב בישול 2]]*טבלה38[[#This Row],[מחיר ליח'' כולל ]]</f>
        <v>0</v>
      </c>
      <c r="AK189" s="666">
        <f>טבלה38[[#This Row],[ערב בישול 3]]*טבלה38[[#This Row],[מחיר ליח'' כולל ]]</f>
        <v>0</v>
      </c>
      <c r="AL189" s="666">
        <f>טבלה38[[#This Row],[ערב קטן 1]]*טבלה38[[#This Row],[מחיר ליח'' כולל ]]</f>
        <v>0</v>
      </c>
      <c r="AM189" s="666">
        <f>טבלה38[[#This Row],[ערב קטן 2]]*טבלה38[[#This Row],[מחיר ליח'' כולל ]]</f>
        <v>0</v>
      </c>
      <c r="AN189" s="666">
        <f>טבלה38[[#This Row],[ערב קטן 3]]*טבלה38[[#This Row],[מחיר ליח'' כולל ]]</f>
        <v>0</v>
      </c>
      <c r="AO189" s="666">
        <f>טבלה38[[#This Row],[קיטים מיוחדים]]*טבלה38[[#This Row],[מחיר ליח'' כולל ]]</f>
        <v>0</v>
      </c>
      <c r="AP189" s="666">
        <f>טבלה38[[#This Row],[תוספות]]*טבלה38[[#This Row],[מחיר ליח'' כולל ]]</f>
        <v>0</v>
      </c>
    </row>
    <row r="190" spans="2:42" ht="15.6">
      <c r="B190" s="651">
        <v>10859</v>
      </c>
      <c r="C190" s="650" t="s">
        <v>1039</v>
      </c>
      <c r="D190" s="650" t="s">
        <v>602</v>
      </c>
      <c r="E190" s="650"/>
      <c r="F190" s="652" t="str">
        <f>IF(טבלה38[[#This Row],[סה"כ]]&gt;0,טבלה38[[#This Row],[סה"כ]],"")</f>
        <v/>
      </c>
      <c r="G190" s="656">
        <v>0.17</v>
      </c>
      <c r="H190" s="655">
        <f>טבלה38[[#This Row],[מחיר]]+טבלה38[[#This Row],[% מע"מ]]*טבלה38[[#This Row],[מחיר]]</f>
        <v>0</v>
      </c>
      <c r="I190" s="630">
        <f>טבלה38[[#This Row],[סה"כ]]*טבלה38[[#This Row],[מחיר ליח'' כולל ]]</f>
        <v>0</v>
      </c>
      <c r="J190" s="655">
        <f>SUM(טבלה38[[#This Row],[פימת קפה]:[תוספות]])</f>
        <v>0</v>
      </c>
      <c r="K190" s="655">
        <f>SUMIF(טבלה11517[מקט],טבלה38[[#This Row],[קוד מוצר]],טבלה11517[כמות])</f>
        <v>0</v>
      </c>
      <c r="L190" s="655">
        <f>SUMIF(טבלה115179[מקט],טבלה38[[#This Row],[קוד מוצר]],טבלה115179[כמות])</f>
        <v>0</v>
      </c>
      <c r="M190" s="655">
        <f>SUMIF(טבלה115[מקט],טבלה38[[#This Row],[קוד מוצר]],טבלה115[כמות])</f>
        <v>0</v>
      </c>
      <c r="N190" s="655">
        <f>SUMIF(טבלה1[מק"ט],טבלה38[[#This Row],[קוד מוצר]],טבלה1[כמות])</f>
        <v>0</v>
      </c>
      <c r="O190" s="655">
        <f>SUMIF(טבלה8[מק"ט],טבלה38[[#This Row],[קוד מוצר]],טבלה8[הזמנה])</f>
        <v>0</v>
      </c>
      <c r="P190" s="655">
        <f>SUMIF(טבלה15[מק"ט],טבלה38[[#This Row],[קוד מוצר]],טבלה15[הזמנה])</f>
        <v>0</v>
      </c>
      <c r="Q190" s="655">
        <f>SUMIF(טבלה1151718[מקט],טבלה38[[#This Row],[קוד מוצר]],טבלה1151718[כמות])</f>
        <v>0</v>
      </c>
      <c r="R190" s="655">
        <f>SUMIF(טבלה125[מקט],טבלה38[[#This Row],[קוד מוצר]],טבלה125[כמות])</f>
        <v>0</v>
      </c>
      <c r="S190" s="655">
        <f>SUMIF(טבלה33[מק"ט],טבלה38[[#This Row],[קוד מוצר]],טבלה33[הזמנה])</f>
        <v>0</v>
      </c>
      <c r="T190" s="655">
        <f>SUMIF(טבלה34[עמודה1],טבלה38[[#This Row],[קוד מוצר]],טבלה34[הזמנה])</f>
        <v>0</v>
      </c>
      <c r="U190" s="655">
        <f>SUMIF(טבלה35[עמודה1],טבלה38[[#This Row],[קוד מוצר]],טבלה35[הזמנה])</f>
        <v>0</v>
      </c>
      <c r="V190" s="655">
        <f>SUMIF(טבלה3338[מק"ט],טבלה38[[#This Row],[קוד מוצר]],טבלה3338[הזמנה])</f>
        <v>0</v>
      </c>
      <c r="W190" s="655">
        <f>SUMIF(טבלה3540[עמודה1],טבלה38[[#This Row],[קוד מוצר]],טבלה3540[הזמנה])</f>
        <v>0</v>
      </c>
      <c r="X190" s="655">
        <f>SUMIF(טבלה3441[עמודה1],טבלה38[[#This Row],[קוד מוצר]],טבלה3441[הזמנה])</f>
        <v>0</v>
      </c>
      <c r="Y190" s="655">
        <f>SUMIF(טבלה24[מקט],טבלה38[[#This Row],[קוד מוצר]],טבלה24[כמות])</f>
        <v>0</v>
      </c>
      <c r="Z190" s="655">
        <f>SUMIF(טבלה628[קוד מוצר],טבלה38[[#This Row],[קוד מוצר]],טבלה628[תוספת])</f>
        <v>0</v>
      </c>
      <c r="AA190" s="610">
        <f>טבלה38[[#This Row],[פימת קפה]]*טבלה38[[#This Row],[מחיר ליח'' כולל ]]</f>
        <v>0</v>
      </c>
      <c r="AB190" s="610">
        <f>טבלה38[[#This Row],[פת שחרית]]*טבלה38[[#This Row],[מחיר ליח'' כולל ]]</f>
        <v>0</v>
      </c>
      <c r="AC190" s="610">
        <f>טבלה38[[#This Row],[א. בוקר פריסה]]*טבלה38[[#This Row],[מחיר ליח'' כולל ]]</f>
        <v>0</v>
      </c>
      <c r="AD190" s="666">
        <f>טבלה38[[#This Row],[א. צהררים פריסה ]]*טבלה38[[#This Row],[מחיר ליח'' כולל ]]</f>
        <v>0</v>
      </c>
      <c r="AE190" s="666">
        <f>טבלה38[[#This Row],[בוקר קיטים]]*טבלה38[[#This Row],[מחיר ליח'' כולל ]]</f>
        <v>0</v>
      </c>
      <c r="AF190" s="666">
        <f>טבלה38[[#This Row],[צהריים קיטים]]*טבלה38[[#This Row],[מחיר ליח'' כולל ]]</f>
        <v>0</v>
      </c>
      <c r="AG190" s="666">
        <f>טבלה38[[#This Row],[פריסת אמצע]]*טבלה38[[#This Row],[מחיר ליח'' כולל ]]</f>
        <v>0</v>
      </c>
      <c r="AH190" s="666">
        <f>טבלה38[[#This Row],[מרק]]*טבלה38[[#This Row],[מחיר ליח'' כולל ]]</f>
        <v>0</v>
      </c>
      <c r="AI190" s="666">
        <f>טבלה38[[#This Row],[ערב בישול 1]]*טבלה38[[#This Row],[מחיר ליח'' כולל ]]</f>
        <v>0</v>
      </c>
      <c r="AJ190" s="666">
        <f>טבלה38[[#This Row],[ערב בישול 2]]*טבלה38[[#This Row],[מחיר ליח'' כולל ]]</f>
        <v>0</v>
      </c>
      <c r="AK190" s="666">
        <f>טבלה38[[#This Row],[ערב בישול 3]]*טבלה38[[#This Row],[מחיר ליח'' כולל ]]</f>
        <v>0</v>
      </c>
      <c r="AL190" s="666">
        <f>טבלה38[[#This Row],[ערב קטן 1]]*טבלה38[[#This Row],[מחיר ליח'' כולל ]]</f>
        <v>0</v>
      </c>
      <c r="AM190" s="666">
        <f>טבלה38[[#This Row],[ערב קטן 2]]*טבלה38[[#This Row],[מחיר ליח'' כולל ]]</f>
        <v>0</v>
      </c>
      <c r="AN190" s="666">
        <f>טבלה38[[#This Row],[ערב קטן 3]]*טבלה38[[#This Row],[מחיר ליח'' כולל ]]</f>
        <v>0</v>
      </c>
      <c r="AO190" s="666">
        <f>טבלה38[[#This Row],[קיטים מיוחדים]]*טבלה38[[#This Row],[מחיר ליח'' כולל ]]</f>
        <v>0</v>
      </c>
      <c r="AP190" s="666">
        <f>טבלה38[[#This Row],[תוספות]]*טבלה38[[#This Row],[מחיר ליח'' כולל ]]</f>
        <v>0</v>
      </c>
    </row>
    <row r="191" spans="2:42" ht="14.4">
      <c r="B191" s="651">
        <v>11357</v>
      </c>
      <c r="C191" s="650" t="s">
        <v>1041</v>
      </c>
      <c r="D191" s="650" t="s">
        <v>240</v>
      </c>
      <c r="E191" s="650"/>
      <c r="F191" s="649" t="str">
        <f>IF(טבלה38[[#This Row],[סה"כ]]&gt;0,טבלה38[[#This Row],[סה"כ]],"")</f>
        <v/>
      </c>
      <c r="G191" s="656">
        <v>0.17</v>
      </c>
      <c r="H191" s="655">
        <f>טבלה38[[#This Row],[מחיר]]+טבלה38[[#This Row],[% מע"מ]]*טבלה38[[#This Row],[מחיר]]</f>
        <v>0</v>
      </c>
      <c r="I191" s="630">
        <f>טבלה38[[#This Row],[סה"כ]]*טבלה38[[#This Row],[מחיר ליח'' כולל ]]</f>
        <v>0</v>
      </c>
      <c r="J191" s="655">
        <f>SUM(טבלה38[[#This Row],[פימת קפה]:[תוספות]])</f>
        <v>0</v>
      </c>
      <c r="K191" s="655">
        <f>SUMIF(טבלה11517[מקט],טבלה38[[#This Row],[קוד מוצר]],טבלה11517[כמות])</f>
        <v>0</v>
      </c>
      <c r="L191" s="655">
        <f>SUMIF(טבלה115179[מקט],טבלה38[[#This Row],[קוד מוצר]],טבלה115179[כמות])</f>
        <v>0</v>
      </c>
      <c r="M191" s="655">
        <f>SUMIF(טבלה115[מקט],טבלה38[[#This Row],[קוד מוצר]],טבלה115[כמות])</f>
        <v>0</v>
      </c>
      <c r="N191" s="655">
        <f>SUMIF(טבלה1[מק"ט],טבלה38[[#This Row],[קוד מוצר]],טבלה1[כמות])</f>
        <v>0</v>
      </c>
      <c r="O191" s="655">
        <f>SUMIF(טבלה8[מק"ט],טבלה38[[#This Row],[קוד מוצר]],טבלה8[הזמנה])</f>
        <v>0</v>
      </c>
      <c r="P191" s="655">
        <f>SUMIF(טבלה15[מק"ט],טבלה38[[#This Row],[קוד מוצר]],טבלה15[הזמנה])</f>
        <v>0</v>
      </c>
      <c r="Q191" s="655">
        <f>SUMIF(טבלה1151718[מקט],טבלה38[[#This Row],[קוד מוצר]],טבלה1151718[כמות])</f>
        <v>0</v>
      </c>
      <c r="R191" s="655">
        <f>SUMIF(טבלה125[מקט],טבלה38[[#This Row],[קוד מוצר]],טבלה125[כמות])</f>
        <v>0</v>
      </c>
      <c r="S191" s="655">
        <f>SUMIF(טבלה33[מק"ט],טבלה38[[#This Row],[קוד מוצר]],טבלה33[הזמנה])</f>
        <v>0</v>
      </c>
      <c r="T191" s="655">
        <f>SUMIF(טבלה34[עמודה1],טבלה38[[#This Row],[קוד מוצר]],טבלה34[הזמנה])</f>
        <v>0</v>
      </c>
      <c r="U191" s="655">
        <f>SUMIF(טבלה35[עמודה1],טבלה38[[#This Row],[קוד מוצר]],טבלה35[הזמנה])</f>
        <v>0</v>
      </c>
      <c r="V191" s="655">
        <f>SUMIF(טבלה3338[מק"ט],טבלה38[[#This Row],[קוד מוצר]],טבלה3338[הזמנה])</f>
        <v>0</v>
      </c>
      <c r="W191" s="655">
        <f>SUMIF(טבלה3540[עמודה1],טבלה38[[#This Row],[קוד מוצר]],טבלה3540[הזמנה])</f>
        <v>0</v>
      </c>
      <c r="X191" s="655">
        <f>SUMIF(טבלה3441[עמודה1],טבלה38[[#This Row],[קוד מוצר]],טבלה3441[הזמנה])</f>
        <v>0</v>
      </c>
      <c r="Y191" s="655">
        <f>SUMIF(טבלה24[מקט],טבלה38[[#This Row],[קוד מוצר]],טבלה24[כמות])</f>
        <v>0</v>
      </c>
      <c r="Z191" s="655">
        <f>SUMIF(טבלה628[קוד מוצר],טבלה38[[#This Row],[קוד מוצר]],טבלה628[תוספת])</f>
        <v>0</v>
      </c>
      <c r="AA191" s="610">
        <f>טבלה38[[#This Row],[פימת קפה]]*טבלה38[[#This Row],[מחיר ליח'' כולל ]]</f>
        <v>0</v>
      </c>
      <c r="AB191" s="610">
        <f>טבלה38[[#This Row],[פת שחרית]]*טבלה38[[#This Row],[מחיר ליח'' כולל ]]</f>
        <v>0</v>
      </c>
      <c r="AC191" s="610">
        <f>טבלה38[[#This Row],[א. בוקר פריסה]]*טבלה38[[#This Row],[מחיר ליח'' כולל ]]</f>
        <v>0</v>
      </c>
      <c r="AD191" s="666">
        <f>טבלה38[[#This Row],[א. צהררים פריסה ]]*טבלה38[[#This Row],[מחיר ליח'' כולל ]]</f>
        <v>0</v>
      </c>
      <c r="AE191" s="666">
        <f>טבלה38[[#This Row],[בוקר קיטים]]*טבלה38[[#This Row],[מחיר ליח'' כולל ]]</f>
        <v>0</v>
      </c>
      <c r="AF191" s="666">
        <f>טבלה38[[#This Row],[צהריים קיטים]]*טבלה38[[#This Row],[מחיר ליח'' כולל ]]</f>
        <v>0</v>
      </c>
      <c r="AG191" s="666">
        <f>טבלה38[[#This Row],[פריסת אמצע]]*טבלה38[[#This Row],[מחיר ליח'' כולל ]]</f>
        <v>0</v>
      </c>
      <c r="AH191" s="666">
        <f>טבלה38[[#This Row],[מרק]]*טבלה38[[#This Row],[מחיר ליח'' כולל ]]</f>
        <v>0</v>
      </c>
      <c r="AI191" s="666">
        <f>טבלה38[[#This Row],[ערב בישול 1]]*טבלה38[[#This Row],[מחיר ליח'' כולל ]]</f>
        <v>0</v>
      </c>
      <c r="AJ191" s="666">
        <f>טבלה38[[#This Row],[ערב בישול 2]]*טבלה38[[#This Row],[מחיר ליח'' כולל ]]</f>
        <v>0</v>
      </c>
      <c r="AK191" s="666">
        <f>טבלה38[[#This Row],[ערב בישול 3]]*טבלה38[[#This Row],[מחיר ליח'' כולל ]]</f>
        <v>0</v>
      </c>
      <c r="AL191" s="666">
        <f>טבלה38[[#This Row],[ערב קטן 1]]*טבלה38[[#This Row],[מחיר ליח'' כולל ]]</f>
        <v>0</v>
      </c>
      <c r="AM191" s="666">
        <f>טבלה38[[#This Row],[ערב קטן 2]]*טבלה38[[#This Row],[מחיר ליח'' כולל ]]</f>
        <v>0</v>
      </c>
      <c r="AN191" s="666">
        <f>טבלה38[[#This Row],[ערב קטן 3]]*טבלה38[[#This Row],[מחיר ליח'' כולל ]]</f>
        <v>0</v>
      </c>
      <c r="AO191" s="666">
        <f>טבלה38[[#This Row],[קיטים מיוחדים]]*טבלה38[[#This Row],[מחיר ליח'' כולל ]]</f>
        <v>0</v>
      </c>
      <c r="AP191" s="666">
        <f>טבלה38[[#This Row],[תוספות]]*טבלה38[[#This Row],[מחיר ליח'' כולל ]]</f>
        <v>0</v>
      </c>
    </row>
    <row r="192" spans="2:42" ht="14.4">
      <c r="B192" s="651">
        <v>11488</v>
      </c>
      <c r="C192" s="650" t="s">
        <v>1102</v>
      </c>
      <c r="D192" s="650" t="s">
        <v>602</v>
      </c>
      <c r="E192" s="650"/>
      <c r="F192" s="649" t="str">
        <f>IF(טבלה38[[#This Row],[סה"כ]]&gt;0,טבלה38[[#This Row],[סה"כ]],"")</f>
        <v/>
      </c>
      <c r="G192" s="656">
        <v>0.17</v>
      </c>
      <c r="H192" s="655">
        <f>טבלה38[[#This Row],[מחיר]]+טבלה38[[#This Row],[% מע"מ]]*טבלה38[[#This Row],[מחיר]]</f>
        <v>0</v>
      </c>
      <c r="I192" s="630">
        <f>טבלה38[[#This Row],[סה"כ]]*טבלה38[[#This Row],[מחיר ליח'' כולל ]]</f>
        <v>0</v>
      </c>
      <c r="J192" s="655">
        <f>SUM(טבלה38[[#This Row],[פימת קפה]:[תוספות]])</f>
        <v>0</v>
      </c>
      <c r="K192" s="655">
        <f>SUMIF(טבלה11517[מקט],טבלה38[[#This Row],[קוד מוצר]],טבלה11517[כמות])</f>
        <v>0</v>
      </c>
      <c r="L192" s="655">
        <f>SUMIF(טבלה115179[מקט],טבלה38[[#This Row],[קוד מוצר]],טבלה115179[כמות])</f>
        <v>0</v>
      </c>
      <c r="M192" s="655">
        <f>SUMIF(טבלה115[מקט],טבלה38[[#This Row],[קוד מוצר]],טבלה115[כמות])</f>
        <v>0</v>
      </c>
      <c r="N192" s="655">
        <f>SUMIF(טבלה1[מק"ט],טבלה38[[#This Row],[קוד מוצר]],טבלה1[כמות])</f>
        <v>0</v>
      </c>
      <c r="O192" s="655">
        <f>SUMIF(טבלה8[מק"ט],טבלה38[[#This Row],[קוד מוצר]],טבלה8[הזמנה])</f>
        <v>0</v>
      </c>
      <c r="P192" s="655">
        <f>SUMIF(טבלה15[מק"ט],טבלה38[[#This Row],[קוד מוצר]],טבלה15[הזמנה])</f>
        <v>0</v>
      </c>
      <c r="Q192" s="655">
        <f>SUMIF(טבלה1151718[מקט],טבלה38[[#This Row],[קוד מוצר]],טבלה1151718[כמות])</f>
        <v>0</v>
      </c>
      <c r="R192" s="655">
        <f>SUMIF(טבלה125[מקט],טבלה38[[#This Row],[קוד מוצר]],טבלה125[כמות])</f>
        <v>0</v>
      </c>
      <c r="S192" s="655">
        <f>SUMIF(טבלה33[מק"ט],טבלה38[[#This Row],[קוד מוצר]],טבלה33[הזמנה])</f>
        <v>0</v>
      </c>
      <c r="T192" s="655">
        <f>SUMIF(טבלה34[עמודה1],טבלה38[[#This Row],[קוד מוצר]],טבלה34[הזמנה])</f>
        <v>0</v>
      </c>
      <c r="U192" s="655">
        <f>SUMIF(טבלה35[עמודה1],טבלה38[[#This Row],[קוד מוצר]],טבלה35[הזמנה])</f>
        <v>0</v>
      </c>
      <c r="V192" s="655">
        <f>SUMIF(טבלה3338[מק"ט],טבלה38[[#This Row],[קוד מוצר]],טבלה3338[הזמנה])</f>
        <v>0</v>
      </c>
      <c r="W192" s="655">
        <f>SUMIF(טבלה3540[עמודה1],טבלה38[[#This Row],[קוד מוצר]],טבלה3540[הזמנה])</f>
        <v>0</v>
      </c>
      <c r="X192" s="655">
        <f>SUMIF(טבלה3441[עמודה1],טבלה38[[#This Row],[קוד מוצר]],טבלה3441[הזמנה])</f>
        <v>0</v>
      </c>
      <c r="Y192" s="655">
        <f>SUMIF(טבלה24[מקט],טבלה38[[#This Row],[קוד מוצר]],טבלה24[כמות])</f>
        <v>0</v>
      </c>
      <c r="Z192" s="655">
        <f>SUMIF(טבלה628[קוד מוצר],טבלה38[[#This Row],[קוד מוצר]],טבלה628[תוספת])</f>
        <v>0</v>
      </c>
      <c r="AA192" s="610">
        <f>טבלה38[[#This Row],[פימת קפה]]*טבלה38[[#This Row],[מחיר ליח'' כולל ]]</f>
        <v>0</v>
      </c>
      <c r="AB192" s="610">
        <f>טבלה38[[#This Row],[פת שחרית]]*טבלה38[[#This Row],[מחיר ליח'' כולל ]]</f>
        <v>0</v>
      </c>
      <c r="AC192" s="610">
        <f>טבלה38[[#This Row],[א. בוקר פריסה]]*טבלה38[[#This Row],[מחיר ליח'' כולל ]]</f>
        <v>0</v>
      </c>
      <c r="AD192" s="666">
        <f>טבלה38[[#This Row],[א. צהררים פריסה ]]*טבלה38[[#This Row],[מחיר ליח'' כולל ]]</f>
        <v>0</v>
      </c>
      <c r="AE192" s="666">
        <f>טבלה38[[#This Row],[בוקר קיטים]]*טבלה38[[#This Row],[מחיר ליח'' כולל ]]</f>
        <v>0</v>
      </c>
      <c r="AF192" s="666">
        <f>טבלה38[[#This Row],[צהריים קיטים]]*טבלה38[[#This Row],[מחיר ליח'' כולל ]]</f>
        <v>0</v>
      </c>
      <c r="AG192" s="666">
        <f>טבלה38[[#This Row],[פריסת אמצע]]*טבלה38[[#This Row],[מחיר ליח'' כולל ]]</f>
        <v>0</v>
      </c>
      <c r="AH192" s="666">
        <f>טבלה38[[#This Row],[מרק]]*טבלה38[[#This Row],[מחיר ליח'' כולל ]]</f>
        <v>0</v>
      </c>
      <c r="AI192" s="666">
        <f>טבלה38[[#This Row],[ערב בישול 1]]*טבלה38[[#This Row],[מחיר ליח'' כולל ]]</f>
        <v>0</v>
      </c>
      <c r="AJ192" s="666">
        <f>טבלה38[[#This Row],[ערב בישול 2]]*טבלה38[[#This Row],[מחיר ליח'' כולל ]]</f>
        <v>0</v>
      </c>
      <c r="AK192" s="666">
        <f>טבלה38[[#This Row],[ערב בישול 3]]*טבלה38[[#This Row],[מחיר ליח'' כולל ]]</f>
        <v>0</v>
      </c>
      <c r="AL192" s="666">
        <f>טבלה38[[#This Row],[ערב קטן 1]]*טבלה38[[#This Row],[מחיר ליח'' כולל ]]</f>
        <v>0</v>
      </c>
      <c r="AM192" s="666">
        <f>טבלה38[[#This Row],[ערב קטן 2]]*טבלה38[[#This Row],[מחיר ליח'' כולל ]]</f>
        <v>0</v>
      </c>
      <c r="AN192" s="666">
        <f>טבלה38[[#This Row],[ערב קטן 3]]*טבלה38[[#This Row],[מחיר ליח'' כולל ]]</f>
        <v>0</v>
      </c>
      <c r="AO192" s="666">
        <f>טבלה38[[#This Row],[קיטים מיוחדים]]*טבלה38[[#This Row],[מחיר ליח'' כולל ]]</f>
        <v>0</v>
      </c>
      <c r="AP192" s="666">
        <f>טבלה38[[#This Row],[תוספות]]*טבלה38[[#This Row],[מחיר ליח'' כולל ]]</f>
        <v>0</v>
      </c>
    </row>
    <row r="193" spans="2:42" ht="15.6">
      <c r="B193" s="651">
        <v>11498</v>
      </c>
      <c r="C193" s="650" t="s">
        <v>1106</v>
      </c>
      <c r="D193" s="650" t="s">
        <v>602</v>
      </c>
      <c r="E193" s="650"/>
      <c r="F193" s="652" t="str">
        <f>IF(טבלה38[[#This Row],[סה"כ]]&gt;0,טבלה38[[#This Row],[סה"כ]],"")</f>
        <v/>
      </c>
      <c r="G193" s="656">
        <v>0.17</v>
      </c>
      <c r="H193" s="655">
        <f>טבלה38[[#This Row],[מחיר]]+טבלה38[[#This Row],[% מע"מ]]*טבלה38[[#This Row],[מחיר]]</f>
        <v>0</v>
      </c>
      <c r="I193" s="630">
        <f>טבלה38[[#This Row],[סה"כ]]*טבלה38[[#This Row],[מחיר ליח'' כולל ]]</f>
        <v>0</v>
      </c>
      <c r="J193" s="655">
        <f>SUM(טבלה38[[#This Row],[פימת קפה]:[תוספות]])</f>
        <v>0</v>
      </c>
      <c r="K193" s="655">
        <f>SUMIF(טבלה11517[מקט],טבלה38[[#This Row],[קוד מוצר]],טבלה11517[כמות])</f>
        <v>0</v>
      </c>
      <c r="L193" s="655">
        <f>SUMIF(טבלה115179[מקט],טבלה38[[#This Row],[קוד מוצר]],טבלה115179[כמות])</f>
        <v>0</v>
      </c>
      <c r="M193" s="655">
        <f>SUMIF(טבלה115[מקט],טבלה38[[#This Row],[קוד מוצר]],טבלה115[כמות])</f>
        <v>0</v>
      </c>
      <c r="N193" s="655">
        <f>SUMIF(טבלה1[מק"ט],טבלה38[[#This Row],[קוד מוצר]],טבלה1[כמות])</f>
        <v>0</v>
      </c>
      <c r="O193" s="655">
        <f>SUMIF(טבלה8[מק"ט],טבלה38[[#This Row],[קוד מוצר]],טבלה8[הזמנה])</f>
        <v>0</v>
      </c>
      <c r="P193" s="655">
        <f>SUMIF(טבלה15[מק"ט],טבלה38[[#This Row],[קוד מוצר]],טבלה15[הזמנה])</f>
        <v>0</v>
      </c>
      <c r="Q193" s="655">
        <f>SUMIF(טבלה1151718[מקט],טבלה38[[#This Row],[קוד מוצר]],טבלה1151718[כמות])</f>
        <v>0</v>
      </c>
      <c r="R193" s="655">
        <f>SUMIF(טבלה125[מקט],טבלה38[[#This Row],[קוד מוצר]],טבלה125[כמות])</f>
        <v>0</v>
      </c>
      <c r="S193" s="655">
        <f>SUMIF(טבלה33[מק"ט],טבלה38[[#This Row],[קוד מוצר]],טבלה33[הזמנה])</f>
        <v>0</v>
      </c>
      <c r="T193" s="655">
        <f>SUMIF(טבלה34[עמודה1],טבלה38[[#This Row],[קוד מוצר]],טבלה34[הזמנה])</f>
        <v>0</v>
      </c>
      <c r="U193" s="655">
        <f>SUMIF(טבלה35[עמודה1],טבלה38[[#This Row],[קוד מוצר]],טבלה35[הזמנה])</f>
        <v>0</v>
      </c>
      <c r="V193" s="655">
        <f>SUMIF(טבלה3338[מק"ט],טבלה38[[#This Row],[קוד מוצר]],טבלה3338[הזמנה])</f>
        <v>0</v>
      </c>
      <c r="W193" s="655">
        <f>SUMIF(טבלה3540[עמודה1],טבלה38[[#This Row],[קוד מוצר]],טבלה3540[הזמנה])</f>
        <v>0</v>
      </c>
      <c r="X193" s="655">
        <f>SUMIF(טבלה3441[עמודה1],טבלה38[[#This Row],[קוד מוצר]],טבלה3441[הזמנה])</f>
        <v>0</v>
      </c>
      <c r="Y193" s="655">
        <f>SUMIF(טבלה24[מקט],טבלה38[[#This Row],[קוד מוצר]],טבלה24[כמות])</f>
        <v>0</v>
      </c>
      <c r="Z193" s="655">
        <f>SUMIF(טבלה628[קוד מוצר],טבלה38[[#This Row],[קוד מוצר]],טבלה628[תוספת])</f>
        <v>0</v>
      </c>
      <c r="AA193" s="610">
        <f>טבלה38[[#This Row],[פימת קפה]]*טבלה38[[#This Row],[מחיר ליח'' כולל ]]</f>
        <v>0</v>
      </c>
      <c r="AB193" s="610">
        <f>טבלה38[[#This Row],[פת שחרית]]*טבלה38[[#This Row],[מחיר ליח'' כולל ]]</f>
        <v>0</v>
      </c>
      <c r="AC193" s="610">
        <f>טבלה38[[#This Row],[א. בוקר פריסה]]*טבלה38[[#This Row],[מחיר ליח'' כולל ]]</f>
        <v>0</v>
      </c>
      <c r="AD193" s="666">
        <f>טבלה38[[#This Row],[א. צהררים פריסה ]]*טבלה38[[#This Row],[מחיר ליח'' כולל ]]</f>
        <v>0</v>
      </c>
      <c r="AE193" s="666">
        <f>טבלה38[[#This Row],[בוקר קיטים]]*טבלה38[[#This Row],[מחיר ליח'' כולל ]]</f>
        <v>0</v>
      </c>
      <c r="AF193" s="666">
        <f>טבלה38[[#This Row],[צהריים קיטים]]*טבלה38[[#This Row],[מחיר ליח'' כולל ]]</f>
        <v>0</v>
      </c>
      <c r="AG193" s="666">
        <f>טבלה38[[#This Row],[פריסת אמצע]]*טבלה38[[#This Row],[מחיר ליח'' כולל ]]</f>
        <v>0</v>
      </c>
      <c r="AH193" s="666">
        <f>טבלה38[[#This Row],[מרק]]*טבלה38[[#This Row],[מחיר ליח'' כולל ]]</f>
        <v>0</v>
      </c>
      <c r="AI193" s="666">
        <f>טבלה38[[#This Row],[ערב בישול 1]]*טבלה38[[#This Row],[מחיר ליח'' כולל ]]</f>
        <v>0</v>
      </c>
      <c r="AJ193" s="666">
        <f>טבלה38[[#This Row],[ערב בישול 2]]*טבלה38[[#This Row],[מחיר ליח'' כולל ]]</f>
        <v>0</v>
      </c>
      <c r="AK193" s="666">
        <f>טבלה38[[#This Row],[ערב בישול 3]]*טבלה38[[#This Row],[מחיר ליח'' כולל ]]</f>
        <v>0</v>
      </c>
      <c r="AL193" s="666">
        <f>טבלה38[[#This Row],[ערב קטן 1]]*טבלה38[[#This Row],[מחיר ליח'' כולל ]]</f>
        <v>0</v>
      </c>
      <c r="AM193" s="666">
        <f>טבלה38[[#This Row],[ערב קטן 2]]*טבלה38[[#This Row],[מחיר ליח'' כולל ]]</f>
        <v>0</v>
      </c>
      <c r="AN193" s="666">
        <f>טבלה38[[#This Row],[ערב קטן 3]]*טבלה38[[#This Row],[מחיר ליח'' כולל ]]</f>
        <v>0</v>
      </c>
      <c r="AO193" s="666">
        <f>טבלה38[[#This Row],[קיטים מיוחדים]]*טבלה38[[#This Row],[מחיר ליח'' כולל ]]</f>
        <v>0</v>
      </c>
      <c r="AP193" s="666">
        <f>טבלה38[[#This Row],[תוספות]]*טבלה38[[#This Row],[מחיר ליח'' כולל ]]</f>
        <v>0</v>
      </c>
    </row>
    <row r="194" spans="2:42" ht="14.4">
      <c r="B194" s="651">
        <v>11500</v>
      </c>
      <c r="C194" s="650" t="s">
        <v>1113</v>
      </c>
      <c r="D194" s="650" t="s">
        <v>602</v>
      </c>
      <c r="E194" s="650"/>
      <c r="F194" s="649" t="str">
        <f>IF(טבלה38[[#This Row],[סה"כ]]&gt;0,טבלה38[[#This Row],[סה"כ]],"")</f>
        <v/>
      </c>
      <c r="G194" s="656">
        <v>0.17</v>
      </c>
      <c r="H194" s="655">
        <f>טבלה38[[#This Row],[מחיר]]+טבלה38[[#This Row],[% מע"מ]]*טבלה38[[#This Row],[מחיר]]</f>
        <v>0</v>
      </c>
      <c r="I194" s="630">
        <f>טבלה38[[#This Row],[סה"כ]]*טבלה38[[#This Row],[מחיר ליח'' כולל ]]</f>
        <v>0</v>
      </c>
      <c r="J194" s="655">
        <f>SUM(טבלה38[[#This Row],[פימת קפה]:[תוספות]])</f>
        <v>0</v>
      </c>
      <c r="K194" s="655">
        <f>SUMIF(טבלה11517[מקט],טבלה38[[#This Row],[קוד מוצר]],טבלה11517[כמות])</f>
        <v>0</v>
      </c>
      <c r="L194" s="655">
        <f>SUMIF(טבלה115179[מקט],טבלה38[[#This Row],[קוד מוצר]],טבלה115179[כמות])</f>
        <v>0</v>
      </c>
      <c r="M194" s="655">
        <f>SUMIF(טבלה115[מקט],טבלה38[[#This Row],[קוד מוצר]],טבלה115[כמות])</f>
        <v>0</v>
      </c>
      <c r="N194" s="655">
        <f>SUMIF(טבלה1[מק"ט],טבלה38[[#This Row],[קוד מוצר]],טבלה1[כמות])</f>
        <v>0</v>
      </c>
      <c r="O194" s="655">
        <f>SUMIF(טבלה8[מק"ט],טבלה38[[#This Row],[קוד מוצר]],טבלה8[הזמנה])</f>
        <v>0</v>
      </c>
      <c r="P194" s="655">
        <f>SUMIF(טבלה15[מק"ט],טבלה38[[#This Row],[קוד מוצר]],טבלה15[הזמנה])</f>
        <v>0</v>
      </c>
      <c r="Q194" s="655">
        <f>SUMIF(טבלה1151718[מקט],טבלה38[[#This Row],[קוד מוצר]],טבלה1151718[כמות])</f>
        <v>0</v>
      </c>
      <c r="R194" s="655">
        <f>SUMIF(טבלה125[מקט],טבלה38[[#This Row],[קוד מוצר]],טבלה125[כמות])</f>
        <v>0</v>
      </c>
      <c r="S194" s="655">
        <f>SUMIF(טבלה33[מק"ט],טבלה38[[#This Row],[קוד מוצר]],טבלה33[הזמנה])</f>
        <v>0</v>
      </c>
      <c r="T194" s="655">
        <f>SUMIF(טבלה34[עמודה1],טבלה38[[#This Row],[קוד מוצר]],טבלה34[הזמנה])</f>
        <v>0</v>
      </c>
      <c r="U194" s="655">
        <f>SUMIF(טבלה35[עמודה1],טבלה38[[#This Row],[קוד מוצר]],טבלה35[הזמנה])</f>
        <v>0</v>
      </c>
      <c r="V194" s="655">
        <f>SUMIF(טבלה3338[מק"ט],טבלה38[[#This Row],[קוד מוצר]],טבלה3338[הזמנה])</f>
        <v>0</v>
      </c>
      <c r="W194" s="655">
        <f>SUMIF(טבלה3540[עמודה1],טבלה38[[#This Row],[קוד מוצר]],טבלה3540[הזמנה])</f>
        <v>0</v>
      </c>
      <c r="X194" s="655">
        <f>SUMIF(טבלה3441[עמודה1],טבלה38[[#This Row],[קוד מוצר]],טבלה3441[הזמנה])</f>
        <v>0</v>
      </c>
      <c r="Y194" s="655">
        <f>SUMIF(טבלה24[מקט],טבלה38[[#This Row],[קוד מוצר]],טבלה24[כמות])</f>
        <v>0</v>
      </c>
      <c r="Z194" s="655">
        <f>SUMIF(טבלה628[קוד מוצר],טבלה38[[#This Row],[קוד מוצר]],טבלה628[תוספת])</f>
        <v>0</v>
      </c>
      <c r="AA194" s="610">
        <f>טבלה38[[#This Row],[פימת קפה]]*טבלה38[[#This Row],[מחיר ליח'' כולל ]]</f>
        <v>0</v>
      </c>
      <c r="AB194" s="610">
        <f>טבלה38[[#This Row],[פת שחרית]]*טבלה38[[#This Row],[מחיר ליח'' כולל ]]</f>
        <v>0</v>
      </c>
      <c r="AC194" s="610">
        <f>טבלה38[[#This Row],[א. בוקר פריסה]]*טבלה38[[#This Row],[מחיר ליח'' כולל ]]</f>
        <v>0</v>
      </c>
      <c r="AD194" s="666">
        <f>טבלה38[[#This Row],[א. צהררים פריסה ]]*טבלה38[[#This Row],[מחיר ליח'' כולל ]]</f>
        <v>0</v>
      </c>
      <c r="AE194" s="666">
        <f>טבלה38[[#This Row],[בוקר קיטים]]*טבלה38[[#This Row],[מחיר ליח'' כולל ]]</f>
        <v>0</v>
      </c>
      <c r="AF194" s="666">
        <f>טבלה38[[#This Row],[צהריים קיטים]]*טבלה38[[#This Row],[מחיר ליח'' כולל ]]</f>
        <v>0</v>
      </c>
      <c r="AG194" s="666">
        <f>טבלה38[[#This Row],[פריסת אמצע]]*טבלה38[[#This Row],[מחיר ליח'' כולל ]]</f>
        <v>0</v>
      </c>
      <c r="AH194" s="666">
        <f>טבלה38[[#This Row],[מרק]]*טבלה38[[#This Row],[מחיר ליח'' כולל ]]</f>
        <v>0</v>
      </c>
      <c r="AI194" s="666">
        <f>טבלה38[[#This Row],[ערב בישול 1]]*טבלה38[[#This Row],[מחיר ליח'' כולל ]]</f>
        <v>0</v>
      </c>
      <c r="AJ194" s="666">
        <f>טבלה38[[#This Row],[ערב בישול 2]]*טבלה38[[#This Row],[מחיר ליח'' כולל ]]</f>
        <v>0</v>
      </c>
      <c r="AK194" s="666">
        <f>טבלה38[[#This Row],[ערב בישול 3]]*טבלה38[[#This Row],[מחיר ליח'' כולל ]]</f>
        <v>0</v>
      </c>
      <c r="AL194" s="666">
        <f>טבלה38[[#This Row],[ערב קטן 1]]*טבלה38[[#This Row],[מחיר ליח'' כולל ]]</f>
        <v>0</v>
      </c>
      <c r="AM194" s="666">
        <f>טבלה38[[#This Row],[ערב קטן 2]]*טבלה38[[#This Row],[מחיר ליח'' כולל ]]</f>
        <v>0</v>
      </c>
      <c r="AN194" s="666">
        <f>טבלה38[[#This Row],[ערב קטן 3]]*טבלה38[[#This Row],[מחיר ליח'' כולל ]]</f>
        <v>0</v>
      </c>
      <c r="AO194" s="666">
        <f>טבלה38[[#This Row],[קיטים מיוחדים]]*טבלה38[[#This Row],[מחיר ליח'' כולל ]]</f>
        <v>0</v>
      </c>
      <c r="AP194" s="666">
        <f>טבלה38[[#This Row],[תוספות]]*טבלה38[[#This Row],[מחיר ליח'' כולל ]]</f>
        <v>0</v>
      </c>
    </row>
    <row r="195" spans="2:42" ht="14.4">
      <c r="B195" s="651">
        <v>11502</v>
      </c>
      <c r="C195" s="650" t="s">
        <v>1110</v>
      </c>
      <c r="D195" s="650" t="s">
        <v>602</v>
      </c>
      <c r="E195" s="650"/>
      <c r="F195" s="650" t="str">
        <f>IF(טבלה38[[#This Row],[סה"כ]]&gt;0,טבלה38[[#This Row],[סה"כ]],"")</f>
        <v/>
      </c>
      <c r="G195" s="656">
        <v>0.17</v>
      </c>
      <c r="H195" s="655">
        <f>טבלה38[[#This Row],[מחיר]]+טבלה38[[#This Row],[% מע"מ]]*טבלה38[[#This Row],[מחיר]]</f>
        <v>0</v>
      </c>
      <c r="I195" s="630">
        <f>טבלה38[[#This Row],[סה"כ]]*טבלה38[[#This Row],[מחיר ליח'' כולל ]]</f>
        <v>0</v>
      </c>
      <c r="J195" s="655">
        <f>SUM(טבלה38[[#This Row],[פימת קפה]:[תוספות]])</f>
        <v>0</v>
      </c>
      <c r="K195" s="655">
        <f>SUMIF(טבלה11517[מקט],טבלה38[[#This Row],[קוד מוצר]],טבלה11517[כמות])</f>
        <v>0</v>
      </c>
      <c r="L195" s="655">
        <f>SUMIF(טבלה115179[מקט],טבלה38[[#This Row],[קוד מוצר]],טבלה115179[כמות])</f>
        <v>0</v>
      </c>
      <c r="M195" s="655">
        <f>SUMIF(טבלה115[מקט],טבלה38[[#This Row],[קוד מוצר]],טבלה115[כמות])</f>
        <v>0</v>
      </c>
      <c r="N195" s="655">
        <f>SUMIF(טבלה1[מק"ט],טבלה38[[#This Row],[קוד מוצר]],טבלה1[כמות])</f>
        <v>0</v>
      </c>
      <c r="O195" s="655">
        <f>SUMIF(טבלה8[מק"ט],טבלה38[[#This Row],[קוד מוצר]],טבלה8[הזמנה])</f>
        <v>0</v>
      </c>
      <c r="P195" s="655">
        <f>SUMIF(טבלה15[מק"ט],טבלה38[[#This Row],[קוד מוצר]],טבלה15[הזמנה])</f>
        <v>0</v>
      </c>
      <c r="Q195" s="655">
        <f>SUMIF(טבלה1151718[מקט],טבלה38[[#This Row],[קוד מוצר]],טבלה1151718[כמות])</f>
        <v>0</v>
      </c>
      <c r="R195" s="655">
        <f>SUMIF(טבלה125[מקט],טבלה38[[#This Row],[קוד מוצר]],טבלה125[כמות])</f>
        <v>0</v>
      </c>
      <c r="S195" s="655">
        <f>SUMIF(טבלה33[מק"ט],טבלה38[[#This Row],[קוד מוצר]],טבלה33[הזמנה])</f>
        <v>0</v>
      </c>
      <c r="T195" s="655">
        <f>SUMIF(טבלה34[עמודה1],טבלה38[[#This Row],[קוד מוצר]],טבלה34[הזמנה])</f>
        <v>0</v>
      </c>
      <c r="U195" s="655">
        <f>SUMIF(טבלה35[עמודה1],טבלה38[[#This Row],[קוד מוצר]],טבלה35[הזמנה])</f>
        <v>0</v>
      </c>
      <c r="V195" s="655">
        <f>SUMIF(טבלה3338[מק"ט],טבלה38[[#This Row],[קוד מוצר]],טבלה3338[הזמנה])</f>
        <v>0</v>
      </c>
      <c r="W195" s="655">
        <f>SUMIF(טבלה3540[עמודה1],טבלה38[[#This Row],[קוד מוצר]],טבלה3540[הזמנה])</f>
        <v>0</v>
      </c>
      <c r="X195" s="655">
        <f>SUMIF(טבלה3441[עמודה1],טבלה38[[#This Row],[קוד מוצר]],טבלה3441[הזמנה])</f>
        <v>0</v>
      </c>
      <c r="Y195" s="655">
        <f>SUMIF(טבלה24[מקט],טבלה38[[#This Row],[קוד מוצר]],טבלה24[כמות])</f>
        <v>0</v>
      </c>
      <c r="Z195" s="655">
        <f>SUMIF(טבלה628[קוד מוצר],טבלה38[[#This Row],[קוד מוצר]],טבלה628[תוספת])</f>
        <v>0</v>
      </c>
      <c r="AA195" s="610">
        <f>טבלה38[[#This Row],[פימת קפה]]*טבלה38[[#This Row],[מחיר ליח'' כולל ]]</f>
        <v>0</v>
      </c>
      <c r="AB195" s="610">
        <f>טבלה38[[#This Row],[פת שחרית]]*טבלה38[[#This Row],[מחיר ליח'' כולל ]]</f>
        <v>0</v>
      </c>
      <c r="AC195" s="610">
        <f>טבלה38[[#This Row],[א. בוקר פריסה]]*טבלה38[[#This Row],[מחיר ליח'' כולל ]]</f>
        <v>0</v>
      </c>
      <c r="AD195" s="666">
        <f>טבלה38[[#This Row],[א. צהררים פריסה ]]*טבלה38[[#This Row],[מחיר ליח'' כולל ]]</f>
        <v>0</v>
      </c>
      <c r="AE195" s="666">
        <f>טבלה38[[#This Row],[בוקר קיטים]]*טבלה38[[#This Row],[מחיר ליח'' כולל ]]</f>
        <v>0</v>
      </c>
      <c r="AF195" s="666">
        <f>טבלה38[[#This Row],[צהריים קיטים]]*טבלה38[[#This Row],[מחיר ליח'' כולל ]]</f>
        <v>0</v>
      </c>
      <c r="AG195" s="666">
        <f>טבלה38[[#This Row],[פריסת אמצע]]*טבלה38[[#This Row],[מחיר ליח'' כולל ]]</f>
        <v>0</v>
      </c>
      <c r="AH195" s="666">
        <f>טבלה38[[#This Row],[מרק]]*טבלה38[[#This Row],[מחיר ליח'' כולל ]]</f>
        <v>0</v>
      </c>
      <c r="AI195" s="666">
        <f>טבלה38[[#This Row],[ערב בישול 1]]*טבלה38[[#This Row],[מחיר ליח'' כולל ]]</f>
        <v>0</v>
      </c>
      <c r="AJ195" s="666">
        <f>טבלה38[[#This Row],[ערב בישול 2]]*טבלה38[[#This Row],[מחיר ליח'' כולל ]]</f>
        <v>0</v>
      </c>
      <c r="AK195" s="666">
        <f>טבלה38[[#This Row],[ערב בישול 3]]*טבלה38[[#This Row],[מחיר ליח'' כולל ]]</f>
        <v>0</v>
      </c>
      <c r="AL195" s="666">
        <f>טבלה38[[#This Row],[ערב קטן 1]]*טבלה38[[#This Row],[מחיר ליח'' כולל ]]</f>
        <v>0</v>
      </c>
      <c r="AM195" s="666">
        <f>טבלה38[[#This Row],[ערב קטן 2]]*טבלה38[[#This Row],[מחיר ליח'' כולל ]]</f>
        <v>0</v>
      </c>
      <c r="AN195" s="666">
        <f>טבלה38[[#This Row],[ערב קטן 3]]*טבלה38[[#This Row],[מחיר ליח'' כולל ]]</f>
        <v>0</v>
      </c>
      <c r="AO195" s="666">
        <f>טבלה38[[#This Row],[קיטים מיוחדים]]*טבלה38[[#This Row],[מחיר ליח'' כולל ]]</f>
        <v>0</v>
      </c>
      <c r="AP195" s="666">
        <f>טבלה38[[#This Row],[תוספות]]*טבלה38[[#This Row],[מחיר ליח'' כולל ]]</f>
        <v>0</v>
      </c>
    </row>
    <row r="196" spans="2:42" ht="21">
      <c r="B196" s="651">
        <v>11579</v>
      </c>
      <c r="C196" s="650" t="s">
        <v>1108</v>
      </c>
      <c r="D196" s="650" t="s">
        <v>602</v>
      </c>
      <c r="E196" s="650"/>
      <c r="F196" s="653" t="str">
        <f>IF(טבלה38[[#This Row],[סה"כ]]&gt;0,טבלה38[[#This Row],[סה"כ]],"")</f>
        <v/>
      </c>
      <c r="G196" s="656">
        <v>0.17</v>
      </c>
      <c r="H196" s="655">
        <f>טבלה38[[#This Row],[מחיר]]+טבלה38[[#This Row],[% מע"מ]]*טבלה38[[#This Row],[מחיר]]</f>
        <v>0</v>
      </c>
      <c r="I196" s="630">
        <f>טבלה38[[#This Row],[סה"כ]]*טבלה38[[#This Row],[מחיר ליח'' כולל ]]</f>
        <v>0</v>
      </c>
      <c r="J196" s="655">
        <f>SUM(טבלה38[[#This Row],[פימת קפה]:[תוספות]])</f>
        <v>0</v>
      </c>
      <c r="K196" s="655">
        <f>SUMIF(טבלה11517[מקט],טבלה38[[#This Row],[קוד מוצר]],טבלה11517[כמות])</f>
        <v>0</v>
      </c>
      <c r="L196" s="655">
        <f>SUMIF(טבלה115179[מקט],טבלה38[[#This Row],[קוד מוצר]],טבלה115179[כמות])</f>
        <v>0</v>
      </c>
      <c r="M196" s="655">
        <f>SUMIF(טבלה115[מקט],טבלה38[[#This Row],[קוד מוצר]],טבלה115[כמות])</f>
        <v>0</v>
      </c>
      <c r="N196" s="655">
        <f>SUMIF(טבלה1[מק"ט],טבלה38[[#This Row],[קוד מוצר]],טבלה1[כמות])</f>
        <v>0</v>
      </c>
      <c r="O196" s="655">
        <f>SUMIF(טבלה8[מק"ט],טבלה38[[#This Row],[קוד מוצר]],טבלה8[הזמנה])</f>
        <v>0</v>
      </c>
      <c r="P196" s="655">
        <f>SUMIF(טבלה15[מק"ט],טבלה38[[#This Row],[קוד מוצר]],טבלה15[הזמנה])</f>
        <v>0</v>
      </c>
      <c r="Q196" s="655">
        <f>SUMIF(טבלה1151718[מקט],טבלה38[[#This Row],[קוד מוצר]],טבלה1151718[כמות])</f>
        <v>0</v>
      </c>
      <c r="R196" s="655">
        <f>SUMIF(טבלה125[מקט],טבלה38[[#This Row],[קוד מוצר]],טבלה125[כמות])</f>
        <v>0</v>
      </c>
      <c r="S196" s="655">
        <f>SUMIF(טבלה33[מק"ט],טבלה38[[#This Row],[קוד מוצר]],טבלה33[הזמנה])</f>
        <v>0</v>
      </c>
      <c r="T196" s="655">
        <f>SUMIF(טבלה34[עמודה1],טבלה38[[#This Row],[קוד מוצר]],טבלה34[הזמנה])</f>
        <v>0</v>
      </c>
      <c r="U196" s="655">
        <f>SUMIF(טבלה35[עמודה1],טבלה38[[#This Row],[קוד מוצר]],טבלה35[הזמנה])</f>
        <v>0</v>
      </c>
      <c r="V196" s="655">
        <f>SUMIF(טבלה3338[מק"ט],טבלה38[[#This Row],[קוד מוצר]],טבלה3338[הזמנה])</f>
        <v>0</v>
      </c>
      <c r="W196" s="655">
        <f>SUMIF(טבלה3540[עמודה1],טבלה38[[#This Row],[קוד מוצר]],טבלה3540[הזמנה])</f>
        <v>0</v>
      </c>
      <c r="X196" s="655">
        <f>SUMIF(טבלה3441[עמודה1],טבלה38[[#This Row],[קוד מוצר]],טבלה3441[הזמנה])</f>
        <v>0</v>
      </c>
      <c r="Y196" s="655">
        <f>SUMIF(טבלה24[מקט],טבלה38[[#This Row],[קוד מוצר]],טבלה24[כמות])</f>
        <v>0</v>
      </c>
      <c r="Z196" s="655">
        <f>SUMIF(טבלה628[קוד מוצר],טבלה38[[#This Row],[קוד מוצר]],טבלה628[תוספת])</f>
        <v>0</v>
      </c>
      <c r="AA196" s="610">
        <f>טבלה38[[#This Row],[פימת קפה]]*טבלה38[[#This Row],[מחיר ליח'' כולל ]]</f>
        <v>0</v>
      </c>
      <c r="AB196" s="610">
        <f>טבלה38[[#This Row],[פת שחרית]]*טבלה38[[#This Row],[מחיר ליח'' כולל ]]</f>
        <v>0</v>
      </c>
      <c r="AC196" s="610">
        <f>טבלה38[[#This Row],[א. בוקר פריסה]]*טבלה38[[#This Row],[מחיר ליח'' כולל ]]</f>
        <v>0</v>
      </c>
      <c r="AD196" s="666">
        <f>טבלה38[[#This Row],[א. צהררים פריסה ]]*טבלה38[[#This Row],[מחיר ליח'' כולל ]]</f>
        <v>0</v>
      </c>
      <c r="AE196" s="666">
        <f>טבלה38[[#This Row],[בוקר קיטים]]*טבלה38[[#This Row],[מחיר ליח'' כולל ]]</f>
        <v>0</v>
      </c>
      <c r="AF196" s="666">
        <f>טבלה38[[#This Row],[צהריים קיטים]]*טבלה38[[#This Row],[מחיר ליח'' כולל ]]</f>
        <v>0</v>
      </c>
      <c r="AG196" s="666">
        <f>טבלה38[[#This Row],[פריסת אמצע]]*טבלה38[[#This Row],[מחיר ליח'' כולל ]]</f>
        <v>0</v>
      </c>
      <c r="AH196" s="666">
        <f>טבלה38[[#This Row],[מרק]]*טבלה38[[#This Row],[מחיר ליח'' כולל ]]</f>
        <v>0</v>
      </c>
      <c r="AI196" s="666">
        <f>טבלה38[[#This Row],[ערב בישול 1]]*טבלה38[[#This Row],[מחיר ליח'' כולל ]]</f>
        <v>0</v>
      </c>
      <c r="AJ196" s="666">
        <f>טבלה38[[#This Row],[ערב בישול 2]]*טבלה38[[#This Row],[מחיר ליח'' כולל ]]</f>
        <v>0</v>
      </c>
      <c r="AK196" s="666">
        <f>טבלה38[[#This Row],[ערב בישול 3]]*טבלה38[[#This Row],[מחיר ליח'' כולל ]]</f>
        <v>0</v>
      </c>
      <c r="AL196" s="666">
        <f>טבלה38[[#This Row],[ערב קטן 1]]*טבלה38[[#This Row],[מחיר ליח'' כולל ]]</f>
        <v>0</v>
      </c>
      <c r="AM196" s="666">
        <f>טבלה38[[#This Row],[ערב קטן 2]]*טבלה38[[#This Row],[מחיר ליח'' כולל ]]</f>
        <v>0</v>
      </c>
      <c r="AN196" s="666">
        <f>טבלה38[[#This Row],[ערב קטן 3]]*טבלה38[[#This Row],[מחיר ליח'' כולל ]]</f>
        <v>0</v>
      </c>
      <c r="AO196" s="666">
        <f>טבלה38[[#This Row],[קיטים מיוחדים]]*טבלה38[[#This Row],[מחיר ליח'' כולל ]]</f>
        <v>0</v>
      </c>
      <c r="AP196" s="666">
        <f>טבלה38[[#This Row],[תוספות]]*טבלה38[[#This Row],[מחיר ליח'' כולל ]]</f>
        <v>0</v>
      </c>
    </row>
    <row r="197" spans="2:42" ht="14.4">
      <c r="B197" s="651">
        <v>11580</v>
      </c>
      <c r="C197" s="650" t="s">
        <v>1097</v>
      </c>
      <c r="D197" s="650" t="s">
        <v>602</v>
      </c>
      <c r="E197" s="650"/>
      <c r="F197" s="649" t="str">
        <f>IF(טבלה38[[#This Row],[סה"כ]]&gt;0,טבלה38[[#This Row],[סה"כ]],"")</f>
        <v/>
      </c>
      <c r="G197" s="656">
        <v>0.17</v>
      </c>
      <c r="H197" s="655">
        <f>טבלה38[[#This Row],[מחיר]]+טבלה38[[#This Row],[% מע"מ]]*טבלה38[[#This Row],[מחיר]]</f>
        <v>0</v>
      </c>
      <c r="I197" s="630">
        <f>טבלה38[[#This Row],[סה"כ]]*טבלה38[[#This Row],[מחיר ליח'' כולל ]]</f>
        <v>0</v>
      </c>
      <c r="J197" s="655">
        <f>SUM(טבלה38[[#This Row],[פימת קפה]:[תוספות]])</f>
        <v>0</v>
      </c>
      <c r="K197" s="655">
        <f>SUMIF(טבלה11517[מקט],טבלה38[[#This Row],[קוד מוצר]],טבלה11517[כמות])</f>
        <v>0</v>
      </c>
      <c r="L197" s="655">
        <f>SUMIF(טבלה115179[מקט],טבלה38[[#This Row],[קוד מוצר]],טבלה115179[כמות])</f>
        <v>0</v>
      </c>
      <c r="M197" s="655">
        <f>SUMIF(טבלה115[מקט],טבלה38[[#This Row],[קוד מוצר]],טבלה115[כמות])</f>
        <v>0</v>
      </c>
      <c r="N197" s="655">
        <f>SUMIF(טבלה1[מק"ט],טבלה38[[#This Row],[קוד מוצר]],טבלה1[כמות])</f>
        <v>0</v>
      </c>
      <c r="O197" s="655">
        <f>SUMIF(טבלה8[מק"ט],טבלה38[[#This Row],[קוד מוצר]],טבלה8[הזמנה])</f>
        <v>0</v>
      </c>
      <c r="P197" s="655">
        <f>SUMIF(טבלה15[מק"ט],טבלה38[[#This Row],[קוד מוצר]],טבלה15[הזמנה])</f>
        <v>0</v>
      </c>
      <c r="Q197" s="655">
        <f>SUMIF(טבלה1151718[מקט],טבלה38[[#This Row],[קוד מוצר]],טבלה1151718[כמות])</f>
        <v>0</v>
      </c>
      <c r="R197" s="655">
        <f>SUMIF(טבלה125[מקט],טבלה38[[#This Row],[קוד מוצר]],טבלה125[כמות])</f>
        <v>0</v>
      </c>
      <c r="S197" s="655">
        <f>SUMIF(טבלה33[מק"ט],טבלה38[[#This Row],[קוד מוצר]],טבלה33[הזמנה])</f>
        <v>0</v>
      </c>
      <c r="T197" s="655">
        <f>SUMIF(טבלה34[עמודה1],טבלה38[[#This Row],[קוד מוצר]],טבלה34[הזמנה])</f>
        <v>0</v>
      </c>
      <c r="U197" s="655">
        <f>SUMIF(טבלה35[עמודה1],טבלה38[[#This Row],[קוד מוצר]],טבלה35[הזמנה])</f>
        <v>0</v>
      </c>
      <c r="V197" s="655">
        <f>SUMIF(טבלה3338[מק"ט],טבלה38[[#This Row],[קוד מוצר]],טבלה3338[הזמנה])</f>
        <v>0</v>
      </c>
      <c r="W197" s="655">
        <f>SUMIF(טבלה3540[עמודה1],טבלה38[[#This Row],[קוד מוצר]],טבלה3540[הזמנה])</f>
        <v>0</v>
      </c>
      <c r="X197" s="655">
        <f>SUMIF(טבלה3441[עמודה1],טבלה38[[#This Row],[קוד מוצר]],טבלה3441[הזמנה])</f>
        <v>0</v>
      </c>
      <c r="Y197" s="655">
        <f>SUMIF(טבלה24[מקט],טבלה38[[#This Row],[קוד מוצר]],טבלה24[כמות])</f>
        <v>0</v>
      </c>
      <c r="Z197" s="655">
        <f>SUMIF(טבלה628[קוד מוצר],טבלה38[[#This Row],[קוד מוצר]],טבלה628[תוספת])</f>
        <v>0</v>
      </c>
      <c r="AA197" s="610">
        <f>טבלה38[[#This Row],[פימת קפה]]*טבלה38[[#This Row],[מחיר ליח'' כולל ]]</f>
        <v>0</v>
      </c>
      <c r="AB197" s="610">
        <f>טבלה38[[#This Row],[פת שחרית]]*טבלה38[[#This Row],[מחיר ליח'' כולל ]]</f>
        <v>0</v>
      </c>
      <c r="AC197" s="610">
        <f>טבלה38[[#This Row],[א. בוקר פריסה]]*טבלה38[[#This Row],[מחיר ליח'' כולל ]]</f>
        <v>0</v>
      </c>
      <c r="AD197" s="666">
        <f>טבלה38[[#This Row],[א. צהררים פריסה ]]*טבלה38[[#This Row],[מחיר ליח'' כולל ]]</f>
        <v>0</v>
      </c>
      <c r="AE197" s="666">
        <f>טבלה38[[#This Row],[בוקר קיטים]]*טבלה38[[#This Row],[מחיר ליח'' כולל ]]</f>
        <v>0</v>
      </c>
      <c r="AF197" s="666">
        <f>טבלה38[[#This Row],[צהריים קיטים]]*טבלה38[[#This Row],[מחיר ליח'' כולל ]]</f>
        <v>0</v>
      </c>
      <c r="AG197" s="666">
        <f>טבלה38[[#This Row],[פריסת אמצע]]*טבלה38[[#This Row],[מחיר ליח'' כולל ]]</f>
        <v>0</v>
      </c>
      <c r="AH197" s="666">
        <f>טבלה38[[#This Row],[מרק]]*טבלה38[[#This Row],[מחיר ליח'' כולל ]]</f>
        <v>0</v>
      </c>
      <c r="AI197" s="666">
        <f>טבלה38[[#This Row],[ערב בישול 1]]*טבלה38[[#This Row],[מחיר ליח'' כולל ]]</f>
        <v>0</v>
      </c>
      <c r="AJ197" s="666">
        <f>טבלה38[[#This Row],[ערב בישול 2]]*טבלה38[[#This Row],[מחיר ליח'' כולל ]]</f>
        <v>0</v>
      </c>
      <c r="AK197" s="666">
        <f>טבלה38[[#This Row],[ערב בישול 3]]*טבלה38[[#This Row],[מחיר ליח'' כולל ]]</f>
        <v>0</v>
      </c>
      <c r="AL197" s="666">
        <f>טבלה38[[#This Row],[ערב קטן 1]]*טבלה38[[#This Row],[מחיר ליח'' כולל ]]</f>
        <v>0</v>
      </c>
      <c r="AM197" s="666">
        <f>טבלה38[[#This Row],[ערב קטן 2]]*טבלה38[[#This Row],[מחיר ליח'' כולל ]]</f>
        <v>0</v>
      </c>
      <c r="AN197" s="666">
        <f>טבלה38[[#This Row],[ערב קטן 3]]*טבלה38[[#This Row],[מחיר ליח'' כולל ]]</f>
        <v>0</v>
      </c>
      <c r="AO197" s="666">
        <f>טבלה38[[#This Row],[קיטים מיוחדים]]*טבלה38[[#This Row],[מחיר ליח'' כולל ]]</f>
        <v>0</v>
      </c>
      <c r="AP197" s="666">
        <f>טבלה38[[#This Row],[תוספות]]*טבלה38[[#This Row],[מחיר ליח'' כולל ]]</f>
        <v>0</v>
      </c>
    </row>
    <row r="198" spans="2:42" ht="14.4">
      <c r="B198" s="651">
        <v>11581</v>
      </c>
      <c r="C198" s="650" t="s">
        <v>1104</v>
      </c>
      <c r="D198" s="650" t="s">
        <v>602</v>
      </c>
      <c r="E198" s="650"/>
      <c r="F198" s="650" t="str">
        <f>IF(טבלה38[[#This Row],[סה"כ]]&gt;0,טבלה38[[#This Row],[סה"כ]],"")</f>
        <v/>
      </c>
      <c r="G198" s="656">
        <v>0.17</v>
      </c>
      <c r="H198" s="655">
        <f>טבלה38[[#This Row],[מחיר]]+טבלה38[[#This Row],[% מע"מ]]*טבלה38[[#This Row],[מחיר]]</f>
        <v>0</v>
      </c>
      <c r="I198" s="630">
        <f>טבלה38[[#This Row],[סה"כ]]*טבלה38[[#This Row],[מחיר ליח'' כולל ]]</f>
        <v>0</v>
      </c>
      <c r="J198" s="655">
        <f>SUM(טבלה38[[#This Row],[פימת קפה]:[תוספות]])</f>
        <v>0</v>
      </c>
      <c r="K198" s="655">
        <f>SUMIF(טבלה11517[מקט],טבלה38[[#This Row],[קוד מוצר]],טבלה11517[כמות])</f>
        <v>0</v>
      </c>
      <c r="L198" s="655">
        <f>SUMIF(טבלה115179[מקט],טבלה38[[#This Row],[קוד מוצר]],טבלה115179[כמות])</f>
        <v>0</v>
      </c>
      <c r="M198" s="655">
        <f>SUMIF(טבלה115[מקט],טבלה38[[#This Row],[קוד מוצר]],טבלה115[כמות])</f>
        <v>0</v>
      </c>
      <c r="N198" s="655">
        <f>SUMIF(טבלה1[מק"ט],טבלה38[[#This Row],[קוד מוצר]],טבלה1[כמות])</f>
        <v>0</v>
      </c>
      <c r="O198" s="655">
        <f>SUMIF(טבלה8[מק"ט],טבלה38[[#This Row],[קוד מוצר]],טבלה8[הזמנה])</f>
        <v>0</v>
      </c>
      <c r="P198" s="655">
        <f>SUMIF(טבלה15[מק"ט],טבלה38[[#This Row],[קוד מוצר]],טבלה15[הזמנה])</f>
        <v>0</v>
      </c>
      <c r="Q198" s="655">
        <f>SUMIF(טבלה1151718[מקט],טבלה38[[#This Row],[קוד מוצר]],טבלה1151718[כמות])</f>
        <v>0</v>
      </c>
      <c r="R198" s="655">
        <f>SUMIF(טבלה125[מקט],טבלה38[[#This Row],[קוד מוצר]],טבלה125[כמות])</f>
        <v>0</v>
      </c>
      <c r="S198" s="655">
        <f>SUMIF(טבלה33[מק"ט],טבלה38[[#This Row],[קוד מוצר]],טבלה33[הזמנה])</f>
        <v>0</v>
      </c>
      <c r="T198" s="655">
        <f>SUMIF(טבלה34[עמודה1],טבלה38[[#This Row],[קוד מוצר]],טבלה34[הזמנה])</f>
        <v>0</v>
      </c>
      <c r="U198" s="655">
        <f>SUMIF(טבלה35[עמודה1],טבלה38[[#This Row],[קוד מוצר]],טבלה35[הזמנה])</f>
        <v>0</v>
      </c>
      <c r="V198" s="655">
        <f>SUMIF(טבלה3338[מק"ט],טבלה38[[#This Row],[קוד מוצר]],טבלה3338[הזמנה])</f>
        <v>0</v>
      </c>
      <c r="W198" s="655">
        <f>SUMIF(טבלה3540[עמודה1],טבלה38[[#This Row],[קוד מוצר]],טבלה3540[הזמנה])</f>
        <v>0</v>
      </c>
      <c r="X198" s="655">
        <f>SUMIF(טבלה3441[עמודה1],טבלה38[[#This Row],[קוד מוצר]],טבלה3441[הזמנה])</f>
        <v>0</v>
      </c>
      <c r="Y198" s="655">
        <f>SUMIF(טבלה24[מקט],טבלה38[[#This Row],[קוד מוצר]],טבלה24[כמות])</f>
        <v>0</v>
      </c>
      <c r="Z198" s="655">
        <f>SUMIF(טבלה628[קוד מוצר],טבלה38[[#This Row],[קוד מוצר]],טבלה628[תוספת])</f>
        <v>0</v>
      </c>
      <c r="AA198" s="610">
        <f>טבלה38[[#This Row],[פימת קפה]]*טבלה38[[#This Row],[מחיר ליח'' כולל ]]</f>
        <v>0</v>
      </c>
      <c r="AB198" s="610">
        <f>טבלה38[[#This Row],[פת שחרית]]*טבלה38[[#This Row],[מחיר ליח'' כולל ]]</f>
        <v>0</v>
      </c>
      <c r="AC198" s="610">
        <f>טבלה38[[#This Row],[א. בוקר פריסה]]*טבלה38[[#This Row],[מחיר ליח'' כולל ]]</f>
        <v>0</v>
      </c>
      <c r="AD198" s="666">
        <f>טבלה38[[#This Row],[א. צהררים פריסה ]]*טבלה38[[#This Row],[מחיר ליח'' כולל ]]</f>
        <v>0</v>
      </c>
      <c r="AE198" s="666">
        <f>טבלה38[[#This Row],[בוקר קיטים]]*טבלה38[[#This Row],[מחיר ליח'' כולל ]]</f>
        <v>0</v>
      </c>
      <c r="AF198" s="666">
        <f>טבלה38[[#This Row],[צהריים קיטים]]*טבלה38[[#This Row],[מחיר ליח'' כולל ]]</f>
        <v>0</v>
      </c>
      <c r="AG198" s="666">
        <f>טבלה38[[#This Row],[פריסת אמצע]]*טבלה38[[#This Row],[מחיר ליח'' כולל ]]</f>
        <v>0</v>
      </c>
      <c r="AH198" s="666">
        <f>טבלה38[[#This Row],[מרק]]*טבלה38[[#This Row],[מחיר ליח'' כולל ]]</f>
        <v>0</v>
      </c>
      <c r="AI198" s="666">
        <f>טבלה38[[#This Row],[ערב בישול 1]]*טבלה38[[#This Row],[מחיר ליח'' כולל ]]</f>
        <v>0</v>
      </c>
      <c r="AJ198" s="666">
        <f>טבלה38[[#This Row],[ערב בישול 2]]*טבלה38[[#This Row],[מחיר ליח'' כולל ]]</f>
        <v>0</v>
      </c>
      <c r="AK198" s="666">
        <f>טבלה38[[#This Row],[ערב בישול 3]]*טבלה38[[#This Row],[מחיר ליח'' כולל ]]</f>
        <v>0</v>
      </c>
      <c r="AL198" s="666">
        <f>טבלה38[[#This Row],[ערב קטן 1]]*טבלה38[[#This Row],[מחיר ליח'' כולל ]]</f>
        <v>0</v>
      </c>
      <c r="AM198" s="666">
        <f>טבלה38[[#This Row],[ערב קטן 2]]*טבלה38[[#This Row],[מחיר ליח'' כולל ]]</f>
        <v>0</v>
      </c>
      <c r="AN198" s="666">
        <f>טבלה38[[#This Row],[ערב קטן 3]]*טבלה38[[#This Row],[מחיר ליח'' כולל ]]</f>
        <v>0</v>
      </c>
      <c r="AO198" s="666">
        <f>טבלה38[[#This Row],[קיטים מיוחדים]]*טבלה38[[#This Row],[מחיר ליח'' כולל ]]</f>
        <v>0</v>
      </c>
      <c r="AP198" s="666">
        <f>טבלה38[[#This Row],[תוספות]]*טבלה38[[#This Row],[מחיר ליח'' כולל ]]</f>
        <v>0</v>
      </c>
    </row>
    <row r="199" spans="2:42" ht="14.4">
      <c r="B199" s="651">
        <v>11582</v>
      </c>
      <c r="C199" s="650" t="s">
        <v>1111</v>
      </c>
      <c r="D199" s="650" t="s">
        <v>602</v>
      </c>
      <c r="E199" s="650"/>
      <c r="F199" s="649" t="str">
        <f>IF(טבלה38[[#This Row],[סה"כ]]&gt;0,טבלה38[[#This Row],[סה"כ]],"")</f>
        <v/>
      </c>
      <c r="G199" s="656">
        <v>0.17</v>
      </c>
      <c r="H199" s="655">
        <f>טבלה38[[#This Row],[מחיר]]+טבלה38[[#This Row],[% מע"מ]]*טבלה38[[#This Row],[מחיר]]</f>
        <v>0</v>
      </c>
      <c r="I199" s="630">
        <f>טבלה38[[#This Row],[סה"כ]]*טבלה38[[#This Row],[מחיר ליח'' כולל ]]</f>
        <v>0</v>
      </c>
      <c r="J199" s="655">
        <f>SUM(טבלה38[[#This Row],[פימת קפה]:[תוספות]])</f>
        <v>0</v>
      </c>
      <c r="K199" s="655">
        <f>SUMIF(טבלה11517[מקט],טבלה38[[#This Row],[קוד מוצר]],טבלה11517[כמות])</f>
        <v>0</v>
      </c>
      <c r="L199" s="655">
        <f>SUMIF(טבלה115179[מקט],טבלה38[[#This Row],[קוד מוצר]],טבלה115179[כמות])</f>
        <v>0</v>
      </c>
      <c r="M199" s="655">
        <f>SUMIF(טבלה115[מקט],טבלה38[[#This Row],[קוד מוצר]],טבלה115[כמות])</f>
        <v>0</v>
      </c>
      <c r="N199" s="655">
        <f>SUMIF(טבלה1[מק"ט],טבלה38[[#This Row],[קוד מוצר]],טבלה1[כמות])</f>
        <v>0</v>
      </c>
      <c r="O199" s="655">
        <f>SUMIF(טבלה8[מק"ט],טבלה38[[#This Row],[קוד מוצר]],טבלה8[הזמנה])</f>
        <v>0</v>
      </c>
      <c r="P199" s="655">
        <f>SUMIF(טבלה15[מק"ט],טבלה38[[#This Row],[קוד מוצר]],טבלה15[הזמנה])</f>
        <v>0</v>
      </c>
      <c r="Q199" s="655">
        <f>SUMIF(טבלה1151718[מקט],טבלה38[[#This Row],[קוד מוצר]],טבלה1151718[כמות])</f>
        <v>0</v>
      </c>
      <c r="R199" s="655">
        <f>SUMIF(טבלה125[מקט],טבלה38[[#This Row],[קוד מוצר]],טבלה125[כמות])</f>
        <v>0</v>
      </c>
      <c r="S199" s="655">
        <f>SUMIF(טבלה33[מק"ט],טבלה38[[#This Row],[קוד מוצר]],טבלה33[הזמנה])</f>
        <v>0</v>
      </c>
      <c r="T199" s="655">
        <f>SUMIF(טבלה34[עמודה1],טבלה38[[#This Row],[קוד מוצר]],טבלה34[הזמנה])</f>
        <v>0</v>
      </c>
      <c r="U199" s="655">
        <f>SUMIF(טבלה35[עמודה1],טבלה38[[#This Row],[קוד מוצר]],טבלה35[הזמנה])</f>
        <v>0</v>
      </c>
      <c r="V199" s="655">
        <f>SUMIF(טבלה3338[מק"ט],טבלה38[[#This Row],[קוד מוצר]],טבלה3338[הזמנה])</f>
        <v>0</v>
      </c>
      <c r="W199" s="655">
        <f>SUMIF(טבלה3540[עמודה1],טבלה38[[#This Row],[קוד מוצר]],טבלה3540[הזמנה])</f>
        <v>0</v>
      </c>
      <c r="X199" s="655">
        <f>SUMIF(טבלה3441[עמודה1],טבלה38[[#This Row],[קוד מוצר]],טבלה3441[הזמנה])</f>
        <v>0</v>
      </c>
      <c r="Y199" s="655">
        <f>SUMIF(טבלה24[מקט],טבלה38[[#This Row],[קוד מוצר]],טבלה24[כמות])</f>
        <v>0</v>
      </c>
      <c r="Z199" s="655">
        <f>SUMIF(טבלה628[קוד מוצר],טבלה38[[#This Row],[קוד מוצר]],טבלה628[תוספת])</f>
        <v>0</v>
      </c>
      <c r="AA199" s="610">
        <f>טבלה38[[#This Row],[פימת קפה]]*טבלה38[[#This Row],[מחיר ליח'' כולל ]]</f>
        <v>0</v>
      </c>
      <c r="AB199" s="610">
        <f>טבלה38[[#This Row],[פת שחרית]]*טבלה38[[#This Row],[מחיר ליח'' כולל ]]</f>
        <v>0</v>
      </c>
      <c r="AC199" s="610">
        <f>טבלה38[[#This Row],[א. בוקר פריסה]]*טבלה38[[#This Row],[מחיר ליח'' כולל ]]</f>
        <v>0</v>
      </c>
      <c r="AD199" s="666">
        <f>טבלה38[[#This Row],[א. צהררים פריסה ]]*טבלה38[[#This Row],[מחיר ליח'' כולל ]]</f>
        <v>0</v>
      </c>
      <c r="AE199" s="666">
        <f>טבלה38[[#This Row],[בוקר קיטים]]*טבלה38[[#This Row],[מחיר ליח'' כולל ]]</f>
        <v>0</v>
      </c>
      <c r="AF199" s="666">
        <f>טבלה38[[#This Row],[צהריים קיטים]]*טבלה38[[#This Row],[מחיר ליח'' כולל ]]</f>
        <v>0</v>
      </c>
      <c r="AG199" s="666">
        <f>טבלה38[[#This Row],[פריסת אמצע]]*טבלה38[[#This Row],[מחיר ליח'' כולל ]]</f>
        <v>0</v>
      </c>
      <c r="AH199" s="666">
        <f>טבלה38[[#This Row],[מרק]]*טבלה38[[#This Row],[מחיר ליח'' כולל ]]</f>
        <v>0</v>
      </c>
      <c r="AI199" s="666">
        <f>טבלה38[[#This Row],[ערב בישול 1]]*טבלה38[[#This Row],[מחיר ליח'' כולל ]]</f>
        <v>0</v>
      </c>
      <c r="AJ199" s="666">
        <f>טבלה38[[#This Row],[ערב בישול 2]]*טבלה38[[#This Row],[מחיר ליח'' כולל ]]</f>
        <v>0</v>
      </c>
      <c r="AK199" s="666">
        <f>טבלה38[[#This Row],[ערב בישול 3]]*טבלה38[[#This Row],[מחיר ליח'' כולל ]]</f>
        <v>0</v>
      </c>
      <c r="AL199" s="666">
        <f>טבלה38[[#This Row],[ערב קטן 1]]*טבלה38[[#This Row],[מחיר ליח'' כולל ]]</f>
        <v>0</v>
      </c>
      <c r="AM199" s="666">
        <f>טבלה38[[#This Row],[ערב קטן 2]]*טבלה38[[#This Row],[מחיר ליח'' כולל ]]</f>
        <v>0</v>
      </c>
      <c r="AN199" s="666">
        <f>טבלה38[[#This Row],[ערב קטן 3]]*טבלה38[[#This Row],[מחיר ליח'' כולל ]]</f>
        <v>0</v>
      </c>
      <c r="AO199" s="666">
        <f>טבלה38[[#This Row],[קיטים מיוחדים]]*טבלה38[[#This Row],[מחיר ליח'' כולל ]]</f>
        <v>0</v>
      </c>
      <c r="AP199" s="666">
        <f>טבלה38[[#This Row],[תוספות]]*טבלה38[[#This Row],[מחיר ליח'' כולל ]]</f>
        <v>0</v>
      </c>
    </row>
    <row r="200" spans="2:42" ht="14.4">
      <c r="B200" s="651">
        <v>11583</v>
      </c>
      <c r="C200" s="650" t="s">
        <v>1095</v>
      </c>
      <c r="D200" s="650" t="s">
        <v>602</v>
      </c>
      <c r="E200" s="650"/>
      <c r="F200" s="649" t="str">
        <f>IF(טבלה38[[#This Row],[סה"כ]]&gt;0,טבלה38[[#This Row],[סה"כ]],"")</f>
        <v/>
      </c>
      <c r="G200" s="656">
        <v>0.17</v>
      </c>
      <c r="H200" s="655">
        <f>טבלה38[[#This Row],[מחיר]]+טבלה38[[#This Row],[% מע"מ]]*טבלה38[[#This Row],[מחיר]]</f>
        <v>0</v>
      </c>
      <c r="I200" s="630">
        <f>טבלה38[[#This Row],[סה"כ]]*טבלה38[[#This Row],[מחיר ליח'' כולל ]]</f>
        <v>0</v>
      </c>
      <c r="J200" s="655">
        <f>SUM(טבלה38[[#This Row],[פימת קפה]:[תוספות]])</f>
        <v>0</v>
      </c>
      <c r="K200" s="655">
        <f>SUMIF(טבלה11517[מקט],טבלה38[[#This Row],[קוד מוצר]],טבלה11517[כמות])</f>
        <v>0</v>
      </c>
      <c r="L200" s="655">
        <f>SUMIF(טבלה115179[מקט],טבלה38[[#This Row],[קוד מוצר]],טבלה115179[כמות])</f>
        <v>0</v>
      </c>
      <c r="M200" s="655">
        <f>SUMIF(טבלה115[מקט],טבלה38[[#This Row],[קוד מוצר]],טבלה115[כמות])</f>
        <v>0</v>
      </c>
      <c r="N200" s="655">
        <f>SUMIF(טבלה1[מק"ט],טבלה38[[#This Row],[קוד מוצר]],טבלה1[כמות])</f>
        <v>0</v>
      </c>
      <c r="O200" s="655">
        <f>SUMIF(טבלה8[מק"ט],טבלה38[[#This Row],[קוד מוצר]],טבלה8[הזמנה])</f>
        <v>0</v>
      </c>
      <c r="P200" s="655">
        <f>SUMIF(טבלה15[מק"ט],טבלה38[[#This Row],[קוד מוצר]],טבלה15[הזמנה])</f>
        <v>0</v>
      </c>
      <c r="Q200" s="655">
        <f>SUMIF(טבלה1151718[מקט],טבלה38[[#This Row],[קוד מוצר]],טבלה1151718[כמות])</f>
        <v>0</v>
      </c>
      <c r="R200" s="655">
        <f>SUMIF(טבלה125[מקט],טבלה38[[#This Row],[קוד מוצר]],טבלה125[כמות])</f>
        <v>0</v>
      </c>
      <c r="S200" s="655">
        <f>SUMIF(טבלה33[מק"ט],טבלה38[[#This Row],[קוד מוצר]],טבלה33[הזמנה])</f>
        <v>0</v>
      </c>
      <c r="T200" s="655">
        <f>SUMIF(טבלה34[עמודה1],טבלה38[[#This Row],[קוד מוצר]],טבלה34[הזמנה])</f>
        <v>0</v>
      </c>
      <c r="U200" s="655">
        <f>SUMIF(טבלה35[עמודה1],טבלה38[[#This Row],[קוד מוצר]],טבלה35[הזמנה])</f>
        <v>0</v>
      </c>
      <c r="V200" s="655">
        <f>SUMIF(טבלה3338[מק"ט],טבלה38[[#This Row],[קוד מוצר]],טבלה3338[הזמנה])</f>
        <v>0</v>
      </c>
      <c r="W200" s="655">
        <f>SUMIF(טבלה3540[עמודה1],טבלה38[[#This Row],[קוד מוצר]],טבלה3540[הזמנה])</f>
        <v>0</v>
      </c>
      <c r="X200" s="655">
        <f>SUMIF(טבלה3441[עמודה1],טבלה38[[#This Row],[קוד מוצר]],טבלה3441[הזמנה])</f>
        <v>0</v>
      </c>
      <c r="Y200" s="655">
        <f>SUMIF(טבלה24[מקט],טבלה38[[#This Row],[קוד מוצר]],טבלה24[כמות])</f>
        <v>0</v>
      </c>
      <c r="Z200" s="655">
        <f>SUMIF(טבלה628[קוד מוצר],טבלה38[[#This Row],[קוד מוצר]],טבלה628[תוספת])</f>
        <v>0</v>
      </c>
      <c r="AA200" s="610">
        <f>טבלה38[[#This Row],[פימת קפה]]*טבלה38[[#This Row],[מחיר ליח'' כולל ]]</f>
        <v>0</v>
      </c>
      <c r="AB200" s="610">
        <f>טבלה38[[#This Row],[פת שחרית]]*טבלה38[[#This Row],[מחיר ליח'' כולל ]]</f>
        <v>0</v>
      </c>
      <c r="AC200" s="610">
        <f>טבלה38[[#This Row],[א. בוקר פריסה]]*טבלה38[[#This Row],[מחיר ליח'' כולל ]]</f>
        <v>0</v>
      </c>
      <c r="AD200" s="666">
        <f>טבלה38[[#This Row],[א. צהררים פריסה ]]*טבלה38[[#This Row],[מחיר ליח'' כולל ]]</f>
        <v>0</v>
      </c>
      <c r="AE200" s="666">
        <f>טבלה38[[#This Row],[בוקר קיטים]]*טבלה38[[#This Row],[מחיר ליח'' כולל ]]</f>
        <v>0</v>
      </c>
      <c r="AF200" s="666">
        <f>טבלה38[[#This Row],[צהריים קיטים]]*טבלה38[[#This Row],[מחיר ליח'' כולל ]]</f>
        <v>0</v>
      </c>
      <c r="AG200" s="666">
        <f>טבלה38[[#This Row],[פריסת אמצע]]*טבלה38[[#This Row],[מחיר ליח'' כולל ]]</f>
        <v>0</v>
      </c>
      <c r="AH200" s="666">
        <f>טבלה38[[#This Row],[מרק]]*טבלה38[[#This Row],[מחיר ליח'' כולל ]]</f>
        <v>0</v>
      </c>
      <c r="AI200" s="666">
        <f>טבלה38[[#This Row],[ערב בישול 1]]*טבלה38[[#This Row],[מחיר ליח'' כולל ]]</f>
        <v>0</v>
      </c>
      <c r="AJ200" s="666">
        <f>טבלה38[[#This Row],[ערב בישול 2]]*טבלה38[[#This Row],[מחיר ליח'' כולל ]]</f>
        <v>0</v>
      </c>
      <c r="AK200" s="666">
        <f>טבלה38[[#This Row],[ערב בישול 3]]*טבלה38[[#This Row],[מחיר ליח'' כולל ]]</f>
        <v>0</v>
      </c>
      <c r="AL200" s="666">
        <f>טבלה38[[#This Row],[ערב קטן 1]]*טבלה38[[#This Row],[מחיר ליח'' כולל ]]</f>
        <v>0</v>
      </c>
      <c r="AM200" s="666">
        <f>טבלה38[[#This Row],[ערב קטן 2]]*טבלה38[[#This Row],[מחיר ליח'' כולל ]]</f>
        <v>0</v>
      </c>
      <c r="AN200" s="666">
        <f>טבלה38[[#This Row],[ערב קטן 3]]*טבלה38[[#This Row],[מחיר ליח'' כולל ]]</f>
        <v>0</v>
      </c>
      <c r="AO200" s="666">
        <f>טבלה38[[#This Row],[קיטים מיוחדים]]*טבלה38[[#This Row],[מחיר ליח'' כולל ]]</f>
        <v>0</v>
      </c>
      <c r="AP200" s="666">
        <f>טבלה38[[#This Row],[תוספות]]*טבלה38[[#This Row],[מחיר ליח'' כולל ]]</f>
        <v>0</v>
      </c>
    </row>
    <row r="201" spans="2:42" ht="14.4">
      <c r="B201" s="651">
        <v>11584</v>
      </c>
      <c r="C201" s="650" t="s">
        <v>1099</v>
      </c>
      <c r="D201" s="650" t="s">
        <v>602</v>
      </c>
      <c r="E201" s="650"/>
      <c r="F201" s="649" t="str">
        <f>IF(טבלה38[[#This Row],[סה"כ]]&gt;0,טבלה38[[#This Row],[סה"כ]],"")</f>
        <v/>
      </c>
      <c r="G201" s="656">
        <v>0.17</v>
      </c>
      <c r="H201" s="655">
        <f>טבלה38[[#This Row],[מחיר]]+טבלה38[[#This Row],[% מע"מ]]*טבלה38[[#This Row],[מחיר]]</f>
        <v>0</v>
      </c>
      <c r="I201" s="630">
        <f>טבלה38[[#This Row],[סה"כ]]*טבלה38[[#This Row],[מחיר ליח'' כולל ]]</f>
        <v>0</v>
      </c>
      <c r="J201" s="655">
        <f>SUM(טבלה38[[#This Row],[פימת קפה]:[תוספות]])</f>
        <v>0</v>
      </c>
      <c r="K201" s="655">
        <f>SUMIF(טבלה11517[מקט],טבלה38[[#This Row],[קוד מוצר]],טבלה11517[כמות])</f>
        <v>0</v>
      </c>
      <c r="L201" s="655">
        <f>SUMIF(טבלה115179[מקט],טבלה38[[#This Row],[קוד מוצר]],טבלה115179[כמות])</f>
        <v>0</v>
      </c>
      <c r="M201" s="655">
        <f>SUMIF(טבלה115[מקט],טבלה38[[#This Row],[קוד מוצר]],טבלה115[כמות])</f>
        <v>0</v>
      </c>
      <c r="N201" s="655">
        <f>SUMIF(טבלה1[מק"ט],טבלה38[[#This Row],[קוד מוצר]],טבלה1[כמות])</f>
        <v>0</v>
      </c>
      <c r="O201" s="655">
        <f>SUMIF(טבלה8[מק"ט],טבלה38[[#This Row],[קוד מוצר]],טבלה8[הזמנה])</f>
        <v>0</v>
      </c>
      <c r="P201" s="655">
        <f>SUMIF(טבלה15[מק"ט],טבלה38[[#This Row],[קוד מוצר]],טבלה15[הזמנה])</f>
        <v>0</v>
      </c>
      <c r="Q201" s="655">
        <f>SUMIF(טבלה1151718[מקט],טבלה38[[#This Row],[קוד מוצר]],טבלה1151718[כמות])</f>
        <v>0</v>
      </c>
      <c r="R201" s="655">
        <f>SUMIF(טבלה125[מקט],טבלה38[[#This Row],[קוד מוצר]],טבלה125[כמות])</f>
        <v>0</v>
      </c>
      <c r="S201" s="655">
        <f>SUMIF(טבלה33[מק"ט],טבלה38[[#This Row],[קוד מוצר]],טבלה33[הזמנה])</f>
        <v>0</v>
      </c>
      <c r="T201" s="655">
        <f>SUMIF(טבלה34[עמודה1],טבלה38[[#This Row],[קוד מוצר]],טבלה34[הזמנה])</f>
        <v>0</v>
      </c>
      <c r="U201" s="655">
        <f>SUMIF(טבלה35[עמודה1],טבלה38[[#This Row],[קוד מוצר]],טבלה35[הזמנה])</f>
        <v>0</v>
      </c>
      <c r="V201" s="655">
        <f>SUMIF(טבלה3338[מק"ט],טבלה38[[#This Row],[קוד מוצר]],טבלה3338[הזמנה])</f>
        <v>0</v>
      </c>
      <c r="W201" s="655">
        <f>SUMIF(טבלה3540[עמודה1],טבלה38[[#This Row],[קוד מוצר]],טבלה3540[הזמנה])</f>
        <v>0</v>
      </c>
      <c r="X201" s="655">
        <f>SUMIF(טבלה3441[עמודה1],טבלה38[[#This Row],[קוד מוצר]],טבלה3441[הזמנה])</f>
        <v>0</v>
      </c>
      <c r="Y201" s="655">
        <f>SUMIF(טבלה24[מקט],טבלה38[[#This Row],[קוד מוצר]],טבלה24[כמות])</f>
        <v>0</v>
      </c>
      <c r="Z201" s="655">
        <f>SUMIF(טבלה628[קוד מוצר],טבלה38[[#This Row],[קוד מוצר]],טבלה628[תוספת])</f>
        <v>0</v>
      </c>
      <c r="AA201" s="610">
        <f>טבלה38[[#This Row],[פימת קפה]]*טבלה38[[#This Row],[מחיר ליח'' כולל ]]</f>
        <v>0</v>
      </c>
      <c r="AB201" s="610">
        <f>טבלה38[[#This Row],[פת שחרית]]*טבלה38[[#This Row],[מחיר ליח'' כולל ]]</f>
        <v>0</v>
      </c>
      <c r="AC201" s="610">
        <f>טבלה38[[#This Row],[א. בוקר פריסה]]*טבלה38[[#This Row],[מחיר ליח'' כולל ]]</f>
        <v>0</v>
      </c>
      <c r="AD201" s="666">
        <f>טבלה38[[#This Row],[א. צהררים פריסה ]]*טבלה38[[#This Row],[מחיר ליח'' כולל ]]</f>
        <v>0</v>
      </c>
      <c r="AE201" s="666">
        <f>טבלה38[[#This Row],[בוקר קיטים]]*טבלה38[[#This Row],[מחיר ליח'' כולל ]]</f>
        <v>0</v>
      </c>
      <c r="AF201" s="666">
        <f>טבלה38[[#This Row],[צהריים קיטים]]*טבלה38[[#This Row],[מחיר ליח'' כולל ]]</f>
        <v>0</v>
      </c>
      <c r="AG201" s="666">
        <f>טבלה38[[#This Row],[פריסת אמצע]]*טבלה38[[#This Row],[מחיר ליח'' כולל ]]</f>
        <v>0</v>
      </c>
      <c r="AH201" s="666">
        <f>טבלה38[[#This Row],[מרק]]*טבלה38[[#This Row],[מחיר ליח'' כולל ]]</f>
        <v>0</v>
      </c>
      <c r="AI201" s="666">
        <f>טבלה38[[#This Row],[ערב בישול 1]]*טבלה38[[#This Row],[מחיר ליח'' כולל ]]</f>
        <v>0</v>
      </c>
      <c r="AJ201" s="666">
        <f>טבלה38[[#This Row],[ערב בישול 2]]*טבלה38[[#This Row],[מחיר ליח'' כולל ]]</f>
        <v>0</v>
      </c>
      <c r="AK201" s="666">
        <f>טבלה38[[#This Row],[ערב בישול 3]]*טבלה38[[#This Row],[מחיר ליח'' כולל ]]</f>
        <v>0</v>
      </c>
      <c r="AL201" s="666">
        <f>טבלה38[[#This Row],[ערב קטן 1]]*טבלה38[[#This Row],[מחיר ליח'' כולל ]]</f>
        <v>0</v>
      </c>
      <c r="AM201" s="666">
        <f>טבלה38[[#This Row],[ערב קטן 2]]*טבלה38[[#This Row],[מחיר ליח'' כולל ]]</f>
        <v>0</v>
      </c>
      <c r="AN201" s="666">
        <f>טבלה38[[#This Row],[ערב קטן 3]]*טבלה38[[#This Row],[מחיר ליח'' כולל ]]</f>
        <v>0</v>
      </c>
      <c r="AO201" s="666">
        <f>טבלה38[[#This Row],[קיטים מיוחדים]]*טבלה38[[#This Row],[מחיר ליח'' כולל ]]</f>
        <v>0</v>
      </c>
      <c r="AP201" s="666">
        <f>טבלה38[[#This Row],[תוספות]]*טבלה38[[#This Row],[מחיר ליח'' כולל ]]</f>
        <v>0</v>
      </c>
    </row>
    <row r="202" spans="2:42" ht="14.4">
      <c r="B202" s="651">
        <v>11591</v>
      </c>
      <c r="C202" s="650" t="s">
        <v>1083</v>
      </c>
      <c r="E202" s="650"/>
      <c r="F202" s="649" t="str">
        <f>IF(טבלה38[[#This Row],[סה"כ]]&gt;0,טבלה38[[#This Row],[סה"כ]],"")</f>
        <v/>
      </c>
      <c r="G202" s="656">
        <v>0.17</v>
      </c>
      <c r="H202" s="655">
        <f>טבלה38[[#This Row],[מחיר]]+טבלה38[[#This Row],[% מע"מ]]*טבלה38[[#This Row],[מחיר]]</f>
        <v>0</v>
      </c>
      <c r="I202" s="630">
        <f>טבלה38[[#This Row],[סה"כ]]*טבלה38[[#This Row],[מחיר ליח'' כולל ]]</f>
        <v>0</v>
      </c>
      <c r="J202" s="655">
        <f>SUM(טבלה38[[#This Row],[פימת קפה]:[תוספות]])</f>
        <v>0</v>
      </c>
      <c r="K202" s="655">
        <f>SUMIF(טבלה11517[מקט],טבלה38[[#This Row],[קוד מוצר]],טבלה11517[כמות])</f>
        <v>0</v>
      </c>
      <c r="L202" s="655">
        <f>SUMIF(טבלה115179[מקט],טבלה38[[#This Row],[קוד מוצר]],טבלה115179[כמות])</f>
        <v>0</v>
      </c>
      <c r="M202" s="655">
        <f>SUMIF(טבלה115[מקט],טבלה38[[#This Row],[קוד מוצר]],טבלה115[כמות])</f>
        <v>0</v>
      </c>
      <c r="N202" s="655">
        <f>SUMIF(טבלה1[מק"ט],טבלה38[[#This Row],[קוד מוצר]],טבלה1[כמות])</f>
        <v>0</v>
      </c>
      <c r="O202" s="655">
        <f>SUMIF(טבלה8[מק"ט],טבלה38[[#This Row],[קוד מוצר]],טבלה8[הזמנה])</f>
        <v>0</v>
      </c>
      <c r="P202" s="655">
        <f>SUMIF(טבלה15[מק"ט],טבלה38[[#This Row],[קוד מוצר]],טבלה15[הזמנה])</f>
        <v>0</v>
      </c>
      <c r="Q202" s="655">
        <f>SUMIF(טבלה1151718[מקט],טבלה38[[#This Row],[קוד מוצר]],טבלה1151718[כמות])</f>
        <v>0</v>
      </c>
      <c r="R202" s="655">
        <f>SUMIF(טבלה125[מקט],טבלה38[[#This Row],[קוד מוצר]],טבלה125[כמות])</f>
        <v>0</v>
      </c>
      <c r="S202" s="655">
        <f>SUMIF(טבלה33[מק"ט],טבלה38[[#This Row],[קוד מוצר]],טבלה33[הזמנה])</f>
        <v>0</v>
      </c>
      <c r="T202" s="655">
        <f>SUMIF(טבלה34[עמודה1],טבלה38[[#This Row],[קוד מוצר]],טבלה34[הזמנה])</f>
        <v>0</v>
      </c>
      <c r="U202" s="655">
        <f>SUMIF(טבלה35[עמודה1],טבלה38[[#This Row],[קוד מוצר]],טבלה35[הזמנה])</f>
        <v>0</v>
      </c>
      <c r="V202" s="655">
        <f>SUMIF(טבלה3338[מק"ט],טבלה38[[#This Row],[קוד מוצר]],טבלה3338[הזמנה])</f>
        <v>0</v>
      </c>
      <c r="W202" s="655">
        <f>SUMIF(טבלה3540[עמודה1],טבלה38[[#This Row],[קוד מוצר]],טבלה3540[הזמנה])</f>
        <v>0</v>
      </c>
      <c r="X202" s="655">
        <f>SUMIF(טבלה3441[עמודה1],טבלה38[[#This Row],[קוד מוצר]],טבלה3441[הזמנה])</f>
        <v>0</v>
      </c>
      <c r="Y202" s="655">
        <f>SUMIF(טבלה24[מקט],טבלה38[[#This Row],[קוד מוצר]],טבלה24[כמות])</f>
        <v>0</v>
      </c>
      <c r="Z202" s="655">
        <f>SUMIF(טבלה628[קוד מוצר],טבלה38[[#This Row],[קוד מוצר]],טבלה628[תוספת])</f>
        <v>0</v>
      </c>
      <c r="AA202" s="610">
        <f>טבלה38[[#This Row],[פימת קפה]]*טבלה38[[#This Row],[מחיר ליח'' כולל ]]</f>
        <v>0</v>
      </c>
      <c r="AB202" s="610">
        <f>טבלה38[[#This Row],[פת שחרית]]*טבלה38[[#This Row],[מחיר ליח'' כולל ]]</f>
        <v>0</v>
      </c>
      <c r="AC202" s="610">
        <f>טבלה38[[#This Row],[א. בוקר פריסה]]*טבלה38[[#This Row],[מחיר ליח'' כולל ]]</f>
        <v>0</v>
      </c>
      <c r="AD202" s="666">
        <f>טבלה38[[#This Row],[א. צהררים פריסה ]]*טבלה38[[#This Row],[מחיר ליח'' כולל ]]</f>
        <v>0</v>
      </c>
      <c r="AE202" s="666">
        <f>טבלה38[[#This Row],[בוקר קיטים]]*טבלה38[[#This Row],[מחיר ליח'' כולל ]]</f>
        <v>0</v>
      </c>
      <c r="AF202" s="666">
        <f>טבלה38[[#This Row],[צהריים קיטים]]*טבלה38[[#This Row],[מחיר ליח'' כולל ]]</f>
        <v>0</v>
      </c>
      <c r="AG202" s="666">
        <f>טבלה38[[#This Row],[פריסת אמצע]]*טבלה38[[#This Row],[מחיר ליח'' כולל ]]</f>
        <v>0</v>
      </c>
      <c r="AH202" s="666">
        <f>טבלה38[[#This Row],[מרק]]*טבלה38[[#This Row],[מחיר ליח'' כולל ]]</f>
        <v>0</v>
      </c>
      <c r="AI202" s="666">
        <f>טבלה38[[#This Row],[ערב בישול 1]]*טבלה38[[#This Row],[מחיר ליח'' כולל ]]</f>
        <v>0</v>
      </c>
      <c r="AJ202" s="666">
        <f>טבלה38[[#This Row],[ערב בישול 2]]*טבלה38[[#This Row],[מחיר ליח'' כולל ]]</f>
        <v>0</v>
      </c>
      <c r="AK202" s="666">
        <f>טבלה38[[#This Row],[ערב בישול 3]]*טבלה38[[#This Row],[מחיר ליח'' כולל ]]</f>
        <v>0</v>
      </c>
      <c r="AL202" s="666">
        <f>טבלה38[[#This Row],[ערב קטן 1]]*טבלה38[[#This Row],[מחיר ליח'' כולל ]]</f>
        <v>0</v>
      </c>
      <c r="AM202" s="666">
        <f>טבלה38[[#This Row],[ערב קטן 2]]*טבלה38[[#This Row],[מחיר ליח'' כולל ]]</f>
        <v>0</v>
      </c>
      <c r="AN202" s="666">
        <f>טבלה38[[#This Row],[ערב קטן 3]]*טבלה38[[#This Row],[מחיר ליח'' כולל ]]</f>
        <v>0</v>
      </c>
      <c r="AO202" s="666">
        <f>טבלה38[[#This Row],[קיטים מיוחדים]]*טבלה38[[#This Row],[מחיר ליח'' כולל ]]</f>
        <v>0</v>
      </c>
      <c r="AP202" s="666">
        <f>טבלה38[[#This Row],[תוספות]]*טבלה38[[#This Row],[מחיר ליח'' כולל ]]</f>
        <v>0</v>
      </c>
    </row>
    <row r="203" spans="2:42" ht="14.4">
      <c r="B203" s="651">
        <v>11596</v>
      </c>
      <c r="C203" s="650" t="s">
        <v>1112</v>
      </c>
      <c r="D203" s="650" t="s">
        <v>602</v>
      </c>
      <c r="E203" s="650"/>
      <c r="F203" s="649" t="str">
        <f>IF(טבלה38[[#This Row],[סה"כ]]&gt;0,טבלה38[[#This Row],[סה"כ]],"")</f>
        <v/>
      </c>
      <c r="G203" s="656">
        <v>0.17</v>
      </c>
      <c r="H203" s="655">
        <f>טבלה38[[#This Row],[מחיר]]+טבלה38[[#This Row],[% מע"מ]]*טבלה38[[#This Row],[מחיר]]</f>
        <v>0</v>
      </c>
      <c r="I203" s="630">
        <f>טבלה38[[#This Row],[סה"כ]]*טבלה38[[#This Row],[מחיר ליח'' כולל ]]</f>
        <v>0</v>
      </c>
      <c r="J203" s="655">
        <f>SUM(טבלה38[[#This Row],[פימת קפה]:[תוספות]])</f>
        <v>0</v>
      </c>
      <c r="K203" s="655">
        <f>SUMIF(טבלה11517[מקט],טבלה38[[#This Row],[קוד מוצר]],טבלה11517[כמות])</f>
        <v>0</v>
      </c>
      <c r="L203" s="655">
        <f>SUMIF(טבלה115179[מקט],טבלה38[[#This Row],[קוד מוצר]],טבלה115179[כמות])</f>
        <v>0</v>
      </c>
      <c r="M203" s="655">
        <f>SUMIF(טבלה115[מקט],טבלה38[[#This Row],[קוד מוצר]],טבלה115[כמות])</f>
        <v>0</v>
      </c>
      <c r="N203" s="655">
        <f>SUMIF(טבלה1[מק"ט],טבלה38[[#This Row],[קוד מוצר]],טבלה1[כמות])</f>
        <v>0</v>
      </c>
      <c r="O203" s="655">
        <f>SUMIF(טבלה8[מק"ט],טבלה38[[#This Row],[קוד מוצר]],טבלה8[הזמנה])</f>
        <v>0</v>
      </c>
      <c r="P203" s="655">
        <f>SUMIF(טבלה15[מק"ט],טבלה38[[#This Row],[קוד מוצר]],טבלה15[הזמנה])</f>
        <v>0</v>
      </c>
      <c r="Q203" s="655">
        <f>SUMIF(טבלה1151718[מקט],טבלה38[[#This Row],[קוד מוצר]],טבלה1151718[כמות])</f>
        <v>0</v>
      </c>
      <c r="R203" s="655">
        <f>SUMIF(טבלה125[מקט],טבלה38[[#This Row],[קוד מוצר]],טבלה125[כמות])</f>
        <v>0</v>
      </c>
      <c r="S203" s="655">
        <f>SUMIF(טבלה33[מק"ט],טבלה38[[#This Row],[קוד מוצר]],טבלה33[הזמנה])</f>
        <v>0</v>
      </c>
      <c r="T203" s="655">
        <f>SUMIF(טבלה34[עמודה1],טבלה38[[#This Row],[קוד מוצר]],טבלה34[הזמנה])</f>
        <v>0</v>
      </c>
      <c r="U203" s="655">
        <f>SUMIF(טבלה35[עמודה1],טבלה38[[#This Row],[קוד מוצר]],טבלה35[הזמנה])</f>
        <v>0</v>
      </c>
      <c r="V203" s="655">
        <f>SUMIF(טבלה3338[מק"ט],טבלה38[[#This Row],[קוד מוצר]],טבלה3338[הזמנה])</f>
        <v>0</v>
      </c>
      <c r="W203" s="655">
        <f>SUMIF(טבלה3540[עמודה1],טבלה38[[#This Row],[קוד מוצר]],טבלה3540[הזמנה])</f>
        <v>0</v>
      </c>
      <c r="X203" s="655">
        <f>SUMIF(טבלה3441[עמודה1],טבלה38[[#This Row],[קוד מוצר]],טבלה3441[הזמנה])</f>
        <v>0</v>
      </c>
      <c r="Y203" s="655">
        <f>SUMIF(טבלה24[מקט],טבלה38[[#This Row],[קוד מוצר]],טבלה24[כמות])</f>
        <v>0</v>
      </c>
      <c r="Z203" s="655">
        <f>SUMIF(טבלה628[קוד מוצר],טבלה38[[#This Row],[קוד מוצר]],טבלה628[תוספת])</f>
        <v>0</v>
      </c>
      <c r="AA203" s="610">
        <f>טבלה38[[#This Row],[פימת קפה]]*טבלה38[[#This Row],[מחיר ליח'' כולל ]]</f>
        <v>0</v>
      </c>
      <c r="AB203" s="610">
        <f>טבלה38[[#This Row],[פת שחרית]]*טבלה38[[#This Row],[מחיר ליח'' כולל ]]</f>
        <v>0</v>
      </c>
      <c r="AC203" s="610">
        <f>טבלה38[[#This Row],[א. בוקר פריסה]]*טבלה38[[#This Row],[מחיר ליח'' כולל ]]</f>
        <v>0</v>
      </c>
      <c r="AD203" s="666">
        <f>טבלה38[[#This Row],[א. צהררים פריסה ]]*טבלה38[[#This Row],[מחיר ליח'' כולל ]]</f>
        <v>0</v>
      </c>
      <c r="AE203" s="666">
        <f>טבלה38[[#This Row],[בוקר קיטים]]*טבלה38[[#This Row],[מחיר ליח'' כולל ]]</f>
        <v>0</v>
      </c>
      <c r="AF203" s="666">
        <f>טבלה38[[#This Row],[צהריים קיטים]]*טבלה38[[#This Row],[מחיר ליח'' כולל ]]</f>
        <v>0</v>
      </c>
      <c r="AG203" s="666">
        <f>טבלה38[[#This Row],[פריסת אמצע]]*טבלה38[[#This Row],[מחיר ליח'' כולל ]]</f>
        <v>0</v>
      </c>
      <c r="AH203" s="666">
        <f>טבלה38[[#This Row],[מרק]]*טבלה38[[#This Row],[מחיר ליח'' כולל ]]</f>
        <v>0</v>
      </c>
      <c r="AI203" s="666">
        <f>טבלה38[[#This Row],[ערב בישול 1]]*טבלה38[[#This Row],[מחיר ליח'' כולל ]]</f>
        <v>0</v>
      </c>
      <c r="AJ203" s="666">
        <f>טבלה38[[#This Row],[ערב בישול 2]]*טבלה38[[#This Row],[מחיר ליח'' כולל ]]</f>
        <v>0</v>
      </c>
      <c r="AK203" s="666">
        <f>טבלה38[[#This Row],[ערב בישול 3]]*טבלה38[[#This Row],[מחיר ליח'' כולל ]]</f>
        <v>0</v>
      </c>
      <c r="AL203" s="666">
        <f>טבלה38[[#This Row],[ערב קטן 1]]*טבלה38[[#This Row],[מחיר ליח'' כולל ]]</f>
        <v>0</v>
      </c>
      <c r="AM203" s="666">
        <f>טבלה38[[#This Row],[ערב קטן 2]]*טבלה38[[#This Row],[מחיר ליח'' כולל ]]</f>
        <v>0</v>
      </c>
      <c r="AN203" s="666">
        <f>טבלה38[[#This Row],[ערב קטן 3]]*טבלה38[[#This Row],[מחיר ליח'' כולל ]]</f>
        <v>0</v>
      </c>
      <c r="AO203" s="666">
        <f>טבלה38[[#This Row],[קיטים מיוחדים]]*טבלה38[[#This Row],[מחיר ליח'' כולל ]]</f>
        <v>0</v>
      </c>
      <c r="AP203" s="666">
        <f>טבלה38[[#This Row],[תוספות]]*טבלה38[[#This Row],[מחיר ליח'' כולל ]]</f>
        <v>0</v>
      </c>
    </row>
    <row r="204" spans="2:42" ht="14.4">
      <c r="B204" s="651">
        <v>11597</v>
      </c>
      <c r="C204" s="650" t="s">
        <v>1109</v>
      </c>
      <c r="D204" s="650" t="s">
        <v>602</v>
      </c>
      <c r="E204" s="650"/>
      <c r="F204" s="649" t="str">
        <f>IF(טבלה38[[#This Row],[סה"כ]]&gt;0,טבלה38[[#This Row],[סה"כ]],"")</f>
        <v/>
      </c>
      <c r="G204" s="656">
        <v>0.17</v>
      </c>
      <c r="H204" s="655">
        <f>טבלה38[[#This Row],[מחיר]]+טבלה38[[#This Row],[% מע"מ]]*טבלה38[[#This Row],[מחיר]]</f>
        <v>0</v>
      </c>
      <c r="I204" s="630">
        <f>טבלה38[[#This Row],[סה"כ]]*טבלה38[[#This Row],[מחיר ליח'' כולל ]]</f>
        <v>0</v>
      </c>
      <c r="J204" s="655">
        <f>SUM(טבלה38[[#This Row],[פימת קפה]:[תוספות]])</f>
        <v>0</v>
      </c>
      <c r="K204" s="655">
        <f>SUMIF(טבלה11517[מקט],טבלה38[[#This Row],[קוד מוצר]],טבלה11517[כמות])</f>
        <v>0</v>
      </c>
      <c r="L204" s="655">
        <f>SUMIF(טבלה115179[מקט],טבלה38[[#This Row],[קוד מוצר]],טבלה115179[כמות])</f>
        <v>0</v>
      </c>
      <c r="M204" s="655">
        <f>SUMIF(טבלה115[מקט],טבלה38[[#This Row],[קוד מוצר]],טבלה115[כמות])</f>
        <v>0</v>
      </c>
      <c r="N204" s="655">
        <f>SUMIF(טבלה1[מק"ט],טבלה38[[#This Row],[קוד מוצר]],טבלה1[כמות])</f>
        <v>0</v>
      </c>
      <c r="O204" s="655">
        <f>SUMIF(טבלה8[מק"ט],טבלה38[[#This Row],[קוד מוצר]],טבלה8[הזמנה])</f>
        <v>0</v>
      </c>
      <c r="P204" s="655">
        <f>SUMIF(טבלה15[מק"ט],טבלה38[[#This Row],[קוד מוצר]],טבלה15[הזמנה])</f>
        <v>0</v>
      </c>
      <c r="Q204" s="655">
        <f>SUMIF(טבלה1151718[מקט],טבלה38[[#This Row],[קוד מוצר]],טבלה1151718[כמות])</f>
        <v>0</v>
      </c>
      <c r="R204" s="655">
        <f>SUMIF(טבלה125[מקט],טבלה38[[#This Row],[קוד מוצר]],טבלה125[כמות])</f>
        <v>0</v>
      </c>
      <c r="S204" s="655">
        <f>SUMIF(טבלה33[מק"ט],טבלה38[[#This Row],[קוד מוצר]],טבלה33[הזמנה])</f>
        <v>0</v>
      </c>
      <c r="T204" s="655">
        <f>SUMIF(טבלה34[עמודה1],טבלה38[[#This Row],[קוד מוצר]],טבלה34[הזמנה])</f>
        <v>0</v>
      </c>
      <c r="U204" s="655">
        <f>SUMIF(טבלה35[עמודה1],טבלה38[[#This Row],[קוד מוצר]],טבלה35[הזמנה])</f>
        <v>0</v>
      </c>
      <c r="V204" s="655">
        <f>SUMIF(טבלה3338[מק"ט],טבלה38[[#This Row],[קוד מוצר]],טבלה3338[הזמנה])</f>
        <v>0</v>
      </c>
      <c r="W204" s="655">
        <f>SUMIF(טבלה3540[עמודה1],טבלה38[[#This Row],[קוד מוצר]],טבלה3540[הזמנה])</f>
        <v>0</v>
      </c>
      <c r="X204" s="655">
        <f>SUMIF(טבלה3441[עמודה1],טבלה38[[#This Row],[קוד מוצר]],טבלה3441[הזמנה])</f>
        <v>0</v>
      </c>
      <c r="Y204" s="655">
        <f>SUMIF(טבלה24[מקט],טבלה38[[#This Row],[קוד מוצר]],טבלה24[כמות])</f>
        <v>0</v>
      </c>
      <c r="Z204" s="655">
        <f>SUMIF(טבלה628[קוד מוצר],טבלה38[[#This Row],[קוד מוצר]],טבלה628[תוספת])</f>
        <v>0</v>
      </c>
      <c r="AA204" s="610">
        <f>טבלה38[[#This Row],[פימת קפה]]*טבלה38[[#This Row],[מחיר ליח'' כולל ]]</f>
        <v>0</v>
      </c>
      <c r="AB204" s="610">
        <f>טבלה38[[#This Row],[פת שחרית]]*טבלה38[[#This Row],[מחיר ליח'' כולל ]]</f>
        <v>0</v>
      </c>
      <c r="AC204" s="610">
        <f>טבלה38[[#This Row],[א. בוקר פריסה]]*טבלה38[[#This Row],[מחיר ליח'' כולל ]]</f>
        <v>0</v>
      </c>
      <c r="AD204" s="666">
        <f>טבלה38[[#This Row],[א. צהררים פריסה ]]*טבלה38[[#This Row],[מחיר ליח'' כולל ]]</f>
        <v>0</v>
      </c>
      <c r="AE204" s="666">
        <f>טבלה38[[#This Row],[בוקר קיטים]]*טבלה38[[#This Row],[מחיר ליח'' כולל ]]</f>
        <v>0</v>
      </c>
      <c r="AF204" s="666">
        <f>טבלה38[[#This Row],[צהריים קיטים]]*טבלה38[[#This Row],[מחיר ליח'' כולל ]]</f>
        <v>0</v>
      </c>
      <c r="AG204" s="666">
        <f>טבלה38[[#This Row],[פריסת אמצע]]*טבלה38[[#This Row],[מחיר ליח'' כולל ]]</f>
        <v>0</v>
      </c>
      <c r="AH204" s="666">
        <f>טבלה38[[#This Row],[מרק]]*טבלה38[[#This Row],[מחיר ליח'' כולל ]]</f>
        <v>0</v>
      </c>
      <c r="AI204" s="666">
        <f>טבלה38[[#This Row],[ערב בישול 1]]*טבלה38[[#This Row],[מחיר ליח'' כולל ]]</f>
        <v>0</v>
      </c>
      <c r="AJ204" s="666">
        <f>טבלה38[[#This Row],[ערב בישול 2]]*טבלה38[[#This Row],[מחיר ליח'' כולל ]]</f>
        <v>0</v>
      </c>
      <c r="AK204" s="666">
        <f>טבלה38[[#This Row],[ערב בישול 3]]*טבלה38[[#This Row],[מחיר ליח'' כולל ]]</f>
        <v>0</v>
      </c>
      <c r="AL204" s="666">
        <f>טבלה38[[#This Row],[ערב קטן 1]]*טבלה38[[#This Row],[מחיר ליח'' כולל ]]</f>
        <v>0</v>
      </c>
      <c r="AM204" s="666">
        <f>טבלה38[[#This Row],[ערב קטן 2]]*טבלה38[[#This Row],[מחיר ליח'' כולל ]]</f>
        <v>0</v>
      </c>
      <c r="AN204" s="666">
        <f>טבלה38[[#This Row],[ערב קטן 3]]*טבלה38[[#This Row],[מחיר ליח'' כולל ]]</f>
        <v>0</v>
      </c>
      <c r="AO204" s="666">
        <f>טבלה38[[#This Row],[קיטים מיוחדים]]*טבלה38[[#This Row],[מחיר ליח'' כולל ]]</f>
        <v>0</v>
      </c>
      <c r="AP204" s="666">
        <f>טבלה38[[#This Row],[תוספות]]*טבלה38[[#This Row],[מחיר ליח'' כולל ]]</f>
        <v>0</v>
      </c>
    </row>
    <row r="205" spans="2:42" ht="15.6">
      <c r="B205" s="651">
        <v>11598</v>
      </c>
      <c r="C205" s="650" t="s">
        <v>1105</v>
      </c>
      <c r="D205" s="650" t="s">
        <v>602</v>
      </c>
      <c r="E205" s="650"/>
      <c r="F205" s="652" t="str">
        <f>IF(טבלה38[[#This Row],[סה"כ]]&gt;0,טבלה38[[#This Row],[סה"כ]],"")</f>
        <v/>
      </c>
      <c r="G205" s="656">
        <v>0.17</v>
      </c>
      <c r="H205" s="655">
        <f>טבלה38[[#This Row],[מחיר]]+טבלה38[[#This Row],[% מע"מ]]*טבלה38[[#This Row],[מחיר]]</f>
        <v>0</v>
      </c>
      <c r="I205" s="630">
        <f>טבלה38[[#This Row],[סה"כ]]*טבלה38[[#This Row],[מחיר ליח'' כולל ]]</f>
        <v>0</v>
      </c>
      <c r="J205" s="655">
        <f>SUM(טבלה38[[#This Row],[פימת קפה]:[תוספות]])</f>
        <v>0</v>
      </c>
      <c r="K205" s="655">
        <f>SUMIF(טבלה11517[מקט],טבלה38[[#This Row],[קוד מוצר]],טבלה11517[כמות])</f>
        <v>0</v>
      </c>
      <c r="L205" s="655">
        <f>SUMIF(טבלה115179[מקט],טבלה38[[#This Row],[קוד מוצר]],טבלה115179[כמות])</f>
        <v>0</v>
      </c>
      <c r="M205" s="655">
        <f>SUMIF(טבלה115[מקט],טבלה38[[#This Row],[קוד מוצר]],טבלה115[כמות])</f>
        <v>0</v>
      </c>
      <c r="N205" s="655">
        <f>SUMIF(טבלה1[מק"ט],טבלה38[[#This Row],[קוד מוצר]],טבלה1[כמות])</f>
        <v>0</v>
      </c>
      <c r="O205" s="655">
        <f>SUMIF(טבלה8[מק"ט],טבלה38[[#This Row],[קוד מוצר]],טבלה8[הזמנה])</f>
        <v>0</v>
      </c>
      <c r="P205" s="655">
        <f>SUMIF(טבלה15[מק"ט],טבלה38[[#This Row],[קוד מוצר]],טבלה15[הזמנה])</f>
        <v>0</v>
      </c>
      <c r="Q205" s="655">
        <f>SUMIF(טבלה1151718[מקט],טבלה38[[#This Row],[קוד מוצר]],טבלה1151718[כמות])</f>
        <v>0</v>
      </c>
      <c r="R205" s="655">
        <f>SUMIF(טבלה125[מקט],טבלה38[[#This Row],[קוד מוצר]],טבלה125[כמות])</f>
        <v>0</v>
      </c>
      <c r="S205" s="655">
        <f>SUMIF(טבלה33[מק"ט],טבלה38[[#This Row],[קוד מוצר]],טבלה33[הזמנה])</f>
        <v>0</v>
      </c>
      <c r="T205" s="655">
        <f>SUMIF(טבלה34[עמודה1],טבלה38[[#This Row],[קוד מוצר]],טבלה34[הזמנה])</f>
        <v>0</v>
      </c>
      <c r="U205" s="655">
        <f>SUMIF(טבלה35[עמודה1],טבלה38[[#This Row],[קוד מוצר]],טבלה35[הזמנה])</f>
        <v>0</v>
      </c>
      <c r="V205" s="655">
        <f>SUMIF(טבלה3338[מק"ט],טבלה38[[#This Row],[קוד מוצר]],טבלה3338[הזמנה])</f>
        <v>0</v>
      </c>
      <c r="W205" s="655">
        <f>SUMIF(טבלה3540[עמודה1],טבלה38[[#This Row],[קוד מוצר]],טבלה3540[הזמנה])</f>
        <v>0</v>
      </c>
      <c r="X205" s="655">
        <f>SUMIF(טבלה3441[עמודה1],טבלה38[[#This Row],[קוד מוצר]],טבלה3441[הזמנה])</f>
        <v>0</v>
      </c>
      <c r="Y205" s="655">
        <f>SUMIF(טבלה24[מקט],טבלה38[[#This Row],[קוד מוצר]],טבלה24[כמות])</f>
        <v>0</v>
      </c>
      <c r="Z205" s="655">
        <f>SUMIF(טבלה628[קוד מוצר],טבלה38[[#This Row],[קוד מוצר]],טבלה628[תוספת])</f>
        <v>0</v>
      </c>
      <c r="AA205" s="610">
        <f>טבלה38[[#This Row],[פימת קפה]]*טבלה38[[#This Row],[מחיר ליח'' כולל ]]</f>
        <v>0</v>
      </c>
      <c r="AB205" s="610">
        <f>טבלה38[[#This Row],[פת שחרית]]*טבלה38[[#This Row],[מחיר ליח'' כולל ]]</f>
        <v>0</v>
      </c>
      <c r="AC205" s="610">
        <f>טבלה38[[#This Row],[א. בוקר פריסה]]*טבלה38[[#This Row],[מחיר ליח'' כולל ]]</f>
        <v>0</v>
      </c>
      <c r="AD205" s="666">
        <f>טבלה38[[#This Row],[א. צהררים פריסה ]]*טבלה38[[#This Row],[מחיר ליח'' כולל ]]</f>
        <v>0</v>
      </c>
      <c r="AE205" s="666">
        <f>טבלה38[[#This Row],[בוקר קיטים]]*טבלה38[[#This Row],[מחיר ליח'' כולל ]]</f>
        <v>0</v>
      </c>
      <c r="AF205" s="666">
        <f>טבלה38[[#This Row],[צהריים קיטים]]*טבלה38[[#This Row],[מחיר ליח'' כולל ]]</f>
        <v>0</v>
      </c>
      <c r="AG205" s="666">
        <f>טבלה38[[#This Row],[פריסת אמצע]]*טבלה38[[#This Row],[מחיר ליח'' כולל ]]</f>
        <v>0</v>
      </c>
      <c r="AH205" s="666">
        <f>טבלה38[[#This Row],[מרק]]*טבלה38[[#This Row],[מחיר ליח'' כולל ]]</f>
        <v>0</v>
      </c>
      <c r="AI205" s="666">
        <f>טבלה38[[#This Row],[ערב בישול 1]]*טבלה38[[#This Row],[מחיר ליח'' כולל ]]</f>
        <v>0</v>
      </c>
      <c r="AJ205" s="666">
        <f>טבלה38[[#This Row],[ערב בישול 2]]*טבלה38[[#This Row],[מחיר ליח'' כולל ]]</f>
        <v>0</v>
      </c>
      <c r="AK205" s="666">
        <f>טבלה38[[#This Row],[ערב בישול 3]]*טבלה38[[#This Row],[מחיר ליח'' כולל ]]</f>
        <v>0</v>
      </c>
      <c r="AL205" s="666">
        <f>טבלה38[[#This Row],[ערב קטן 1]]*טבלה38[[#This Row],[מחיר ליח'' כולל ]]</f>
        <v>0</v>
      </c>
      <c r="AM205" s="666">
        <f>טבלה38[[#This Row],[ערב קטן 2]]*טבלה38[[#This Row],[מחיר ליח'' כולל ]]</f>
        <v>0</v>
      </c>
      <c r="AN205" s="666">
        <f>טבלה38[[#This Row],[ערב קטן 3]]*טבלה38[[#This Row],[מחיר ליח'' כולל ]]</f>
        <v>0</v>
      </c>
      <c r="AO205" s="666">
        <f>טבלה38[[#This Row],[קיטים מיוחדים]]*טבלה38[[#This Row],[מחיר ליח'' כולל ]]</f>
        <v>0</v>
      </c>
      <c r="AP205" s="666">
        <f>טבלה38[[#This Row],[תוספות]]*טבלה38[[#This Row],[מחיר ליח'' כולל ]]</f>
        <v>0</v>
      </c>
    </row>
    <row r="206" spans="2:42" ht="14.4">
      <c r="B206" s="651">
        <v>11599</v>
      </c>
      <c r="C206" s="650" t="s">
        <v>1103</v>
      </c>
      <c r="D206" s="650" t="s">
        <v>602</v>
      </c>
      <c r="E206" s="650"/>
      <c r="F206" s="649" t="str">
        <f>IF(טבלה38[[#This Row],[סה"כ]]&gt;0,טבלה38[[#This Row],[סה"כ]],"")</f>
        <v/>
      </c>
      <c r="G206" s="656">
        <v>0.17</v>
      </c>
      <c r="H206" s="655">
        <f>טבלה38[[#This Row],[מחיר]]+טבלה38[[#This Row],[% מע"מ]]*טבלה38[[#This Row],[מחיר]]</f>
        <v>0</v>
      </c>
      <c r="I206" s="630">
        <f>טבלה38[[#This Row],[סה"כ]]*טבלה38[[#This Row],[מחיר ליח'' כולל ]]</f>
        <v>0</v>
      </c>
      <c r="J206" s="655">
        <f>SUM(טבלה38[[#This Row],[פימת קפה]:[תוספות]])</f>
        <v>0</v>
      </c>
      <c r="K206" s="655">
        <f>SUMIF(טבלה11517[מקט],טבלה38[[#This Row],[קוד מוצר]],טבלה11517[כמות])</f>
        <v>0</v>
      </c>
      <c r="L206" s="655">
        <f>SUMIF(טבלה115179[מקט],טבלה38[[#This Row],[קוד מוצר]],טבלה115179[כמות])</f>
        <v>0</v>
      </c>
      <c r="M206" s="655">
        <f>SUMIF(טבלה115[מקט],טבלה38[[#This Row],[קוד מוצר]],טבלה115[כמות])</f>
        <v>0</v>
      </c>
      <c r="N206" s="655">
        <f>SUMIF(טבלה1[מק"ט],טבלה38[[#This Row],[קוד מוצר]],טבלה1[כמות])</f>
        <v>0</v>
      </c>
      <c r="O206" s="655">
        <f>SUMIF(טבלה8[מק"ט],טבלה38[[#This Row],[קוד מוצר]],טבלה8[הזמנה])</f>
        <v>0</v>
      </c>
      <c r="P206" s="655">
        <f>SUMIF(טבלה15[מק"ט],טבלה38[[#This Row],[קוד מוצר]],טבלה15[הזמנה])</f>
        <v>0</v>
      </c>
      <c r="Q206" s="655">
        <f>SUMIF(טבלה1151718[מקט],טבלה38[[#This Row],[קוד מוצר]],טבלה1151718[כמות])</f>
        <v>0</v>
      </c>
      <c r="R206" s="655">
        <f>SUMIF(טבלה125[מקט],טבלה38[[#This Row],[קוד מוצר]],טבלה125[כמות])</f>
        <v>0</v>
      </c>
      <c r="S206" s="655">
        <f>SUMIF(טבלה33[מק"ט],טבלה38[[#This Row],[קוד מוצר]],טבלה33[הזמנה])</f>
        <v>0</v>
      </c>
      <c r="T206" s="655">
        <f>SUMIF(טבלה34[עמודה1],טבלה38[[#This Row],[קוד מוצר]],טבלה34[הזמנה])</f>
        <v>0</v>
      </c>
      <c r="U206" s="655">
        <f>SUMIF(טבלה35[עמודה1],טבלה38[[#This Row],[קוד מוצר]],טבלה35[הזמנה])</f>
        <v>0</v>
      </c>
      <c r="V206" s="655">
        <f>SUMIF(טבלה3338[מק"ט],טבלה38[[#This Row],[קוד מוצר]],טבלה3338[הזמנה])</f>
        <v>0</v>
      </c>
      <c r="W206" s="655">
        <f>SUMIF(טבלה3540[עמודה1],טבלה38[[#This Row],[קוד מוצר]],טבלה3540[הזמנה])</f>
        <v>0</v>
      </c>
      <c r="X206" s="655">
        <f>SUMIF(טבלה3441[עמודה1],טבלה38[[#This Row],[קוד מוצר]],טבלה3441[הזמנה])</f>
        <v>0</v>
      </c>
      <c r="Y206" s="655">
        <f>SUMIF(טבלה24[מקט],טבלה38[[#This Row],[קוד מוצר]],טבלה24[כמות])</f>
        <v>0</v>
      </c>
      <c r="Z206" s="655">
        <f>SUMIF(טבלה628[קוד מוצר],טבלה38[[#This Row],[קוד מוצר]],טבלה628[תוספת])</f>
        <v>0</v>
      </c>
      <c r="AA206" s="610">
        <f>טבלה38[[#This Row],[פימת קפה]]*טבלה38[[#This Row],[מחיר ליח'' כולל ]]</f>
        <v>0</v>
      </c>
      <c r="AB206" s="610">
        <f>טבלה38[[#This Row],[פת שחרית]]*טבלה38[[#This Row],[מחיר ליח'' כולל ]]</f>
        <v>0</v>
      </c>
      <c r="AC206" s="610">
        <f>טבלה38[[#This Row],[א. בוקר פריסה]]*טבלה38[[#This Row],[מחיר ליח'' כולל ]]</f>
        <v>0</v>
      </c>
      <c r="AD206" s="666">
        <f>טבלה38[[#This Row],[א. צהררים פריסה ]]*טבלה38[[#This Row],[מחיר ליח'' כולל ]]</f>
        <v>0</v>
      </c>
      <c r="AE206" s="666">
        <f>טבלה38[[#This Row],[בוקר קיטים]]*טבלה38[[#This Row],[מחיר ליח'' כולל ]]</f>
        <v>0</v>
      </c>
      <c r="AF206" s="666">
        <f>טבלה38[[#This Row],[צהריים קיטים]]*טבלה38[[#This Row],[מחיר ליח'' כולל ]]</f>
        <v>0</v>
      </c>
      <c r="AG206" s="666">
        <f>טבלה38[[#This Row],[פריסת אמצע]]*טבלה38[[#This Row],[מחיר ליח'' כולל ]]</f>
        <v>0</v>
      </c>
      <c r="AH206" s="666">
        <f>טבלה38[[#This Row],[מרק]]*טבלה38[[#This Row],[מחיר ליח'' כולל ]]</f>
        <v>0</v>
      </c>
      <c r="AI206" s="666">
        <f>טבלה38[[#This Row],[ערב בישול 1]]*טבלה38[[#This Row],[מחיר ליח'' כולל ]]</f>
        <v>0</v>
      </c>
      <c r="AJ206" s="666">
        <f>טבלה38[[#This Row],[ערב בישול 2]]*טבלה38[[#This Row],[מחיר ליח'' כולל ]]</f>
        <v>0</v>
      </c>
      <c r="AK206" s="666">
        <f>טבלה38[[#This Row],[ערב בישול 3]]*טבלה38[[#This Row],[מחיר ליח'' כולל ]]</f>
        <v>0</v>
      </c>
      <c r="AL206" s="666">
        <f>טבלה38[[#This Row],[ערב קטן 1]]*טבלה38[[#This Row],[מחיר ליח'' כולל ]]</f>
        <v>0</v>
      </c>
      <c r="AM206" s="666">
        <f>טבלה38[[#This Row],[ערב קטן 2]]*טבלה38[[#This Row],[מחיר ליח'' כולל ]]</f>
        <v>0</v>
      </c>
      <c r="AN206" s="666">
        <f>טבלה38[[#This Row],[ערב קטן 3]]*טבלה38[[#This Row],[מחיר ליח'' כולל ]]</f>
        <v>0</v>
      </c>
      <c r="AO206" s="666">
        <f>טבלה38[[#This Row],[קיטים מיוחדים]]*טבלה38[[#This Row],[מחיר ליח'' כולל ]]</f>
        <v>0</v>
      </c>
      <c r="AP206" s="666">
        <f>טבלה38[[#This Row],[תוספות]]*טבלה38[[#This Row],[מחיר ליח'' כולל ]]</f>
        <v>0</v>
      </c>
    </row>
    <row r="207" spans="2:42" ht="14.4">
      <c r="B207" s="651">
        <v>11600</v>
      </c>
      <c r="C207" s="650" t="s">
        <v>1101</v>
      </c>
      <c r="D207" s="650" t="s">
        <v>602</v>
      </c>
      <c r="E207" s="650"/>
      <c r="F207" s="649" t="str">
        <f>IF(טבלה38[[#This Row],[סה"כ]]&gt;0,טבלה38[[#This Row],[סה"כ]],"")</f>
        <v/>
      </c>
      <c r="G207" s="656">
        <v>0.17</v>
      </c>
      <c r="H207" s="655">
        <f>טבלה38[[#This Row],[מחיר]]+טבלה38[[#This Row],[% מע"מ]]*טבלה38[[#This Row],[מחיר]]</f>
        <v>0</v>
      </c>
      <c r="I207" s="630">
        <f>טבלה38[[#This Row],[סה"כ]]*טבלה38[[#This Row],[מחיר ליח'' כולל ]]</f>
        <v>0</v>
      </c>
      <c r="J207" s="655">
        <f>SUM(טבלה38[[#This Row],[פימת קפה]:[תוספות]])</f>
        <v>0</v>
      </c>
      <c r="K207" s="655">
        <f>SUMIF(טבלה11517[מקט],טבלה38[[#This Row],[קוד מוצר]],טבלה11517[כמות])</f>
        <v>0</v>
      </c>
      <c r="L207" s="655">
        <f>SUMIF(טבלה115179[מקט],טבלה38[[#This Row],[קוד מוצר]],טבלה115179[כמות])</f>
        <v>0</v>
      </c>
      <c r="M207" s="655">
        <f>SUMIF(טבלה115[מקט],טבלה38[[#This Row],[קוד מוצר]],טבלה115[כמות])</f>
        <v>0</v>
      </c>
      <c r="N207" s="655">
        <f>SUMIF(טבלה1[מק"ט],טבלה38[[#This Row],[קוד מוצר]],טבלה1[כמות])</f>
        <v>0</v>
      </c>
      <c r="O207" s="655">
        <f>SUMIF(טבלה8[מק"ט],טבלה38[[#This Row],[קוד מוצר]],טבלה8[הזמנה])</f>
        <v>0</v>
      </c>
      <c r="P207" s="655">
        <f>SUMIF(טבלה15[מק"ט],טבלה38[[#This Row],[קוד מוצר]],טבלה15[הזמנה])</f>
        <v>0</v>
      </c>
      <c r="Q207" s="655">
        <f>SUMIF(טבלה1151718[מקט],טבלה38[[#This Row],[קוד מוצר]],טבלה1151718[כמות])</f>
        <v>0</v>
      </c>
      <c r="R207" s="655">
        <f>SUMIF(טבלה125[מקט],טבלה38[[#This Row],[קוד מוצר]],טבלה125[כמות])</f>
        <v>0</v>
      </c>
      <c r="S207" s="655">
        <f>SUMIF(טבלה33[מק"ט],טבלה38[[#This Row],[קוד מוצר]],טבלה33[הזמנה])</f>
        <v>0</v>
      </c>
      <c r="T207" s="655">
        <f>SUMIF(טבלה34[עמודה1],טבלה38[[#This Row],[קוד מוצר]],טבלה34[הזמנה])</f>
        <v>0</v>
      </c>
      <c r="U207" s="655">
        <f>SUMIF(טבלה35[עמודה1],טבלה38[[#This Row],[קוד מוצר]],טבלה35[הזמנה])</f>
        <v>0</v>
      </c>
      <c r="V207" s="655">
        <f>SUMIF(טבלה3338[מק"ט],טבלה38[[#This Row],[קוד מוצר]],טבלה3338[הזמנה])</f>
        <v>0</v>
      </c>
      <c r="W207" s="655">
        <f>SUMIF(טבלה3540[עמודה1],טבלה38[[#This Row],[קוד מוצר]],טבלה3540[הזמנה])</f>
        <v>0</v>
      </c>
      <c r="X207" s="655">
        <f>SUMIF(טבלה3441[עמודה1],טבלה38[[#This Row],[קוד מוצר]],טבלה3441[הזמנה])</f>
        <v>0</v>
      </c>
      <c r="Y207" s="655">
        <f>SUMIF(טבלה24[מקט],טבלה38[[#This Row],[קוד מוצר]],טבלה24[כמות])</f>
        <v>0</v>
      </c>
      <c r="Z207" s="655">
        <f>SUMIF(טבלה628[קוד מוצר],טבלה38[[#This Row],[קוד מוצר]],טבלה628[תוספת])</f>
        <v>0</v>
      </c>
      <c r="AA207" s="610">
        <f>טבלה38[[#This Row],[פימת קפה]]*טבלה38[[#This Row],[מחיר ליח'' כולל ]]</f>
        <v>0</v>
      </c>
      <c r="AB207" s="610">
        <f>טבלה38[[#This Row],[פת שחרית]]*טבלה38[[#This Row],[מחיר ליח'' כולל ]]</f>
        <v>0</v>
      </c>
      <c r="AC207" s="610">
        <f>טבלה38[[#This Row],[א. בוקר פריסה]]*טבלה38[[#This Row],[מחיר ליח'' כולל ]]</f>
        <v>0</v>
      </c>
      <c r="AD207" s="666">
        <f>טבלה38[[#This Row],[א. צהררים פריסה ]]*טבלה38[[#This Row],[מחיר ליח'' כולל ]]</f>
        <v>0</v>
      </c>
      <c r="AE207" s="666">
        <f>טבלה38[[#This Row],[בוקר קיטים]]*טבלה38[[#This Row],[מחיר ליח'' כולל ]]</f>
        <v>0</v>
      </c>
      <c r="AF207" s="666">
        <f>טבלה38[[#This Row],[צהריים קיטים]]*טבלה38[[#This Row],[מחיר ליח'' כולל ]]</f>
        <v>0</v>
      </c>
      <c r="AG207" s="666">
        <f>טבלה38[[#This Row],[פריסת אמצע]]*טבלה38[[#This Row],[מחיר ליח'' כולל ]]</f>
        <v>0</v>
      </c>
      <c r="AH207" s="666">
        <f>טבלה38[[#This Row],[מרק]]*טבלה38[[#This Row],[מחיר ליח'' כולל ]]</f>
        <v>0</v>
      </c>
      <c r="AI207" s="666">
        <f>טבלה38[[#This Row],[ערב בישול 1]]*טבלה38[[#This Row],[מחיר ליח'' כולל ]]</f>
        <v>0</v>
      </c>
      <c r="AJ207" s="666">
        <f>טבלה38[[#This Row],[ערב בישול 2]]*טבלה38[[#This Row],[מחיר ליח'' כולל ]]</f>
        <v>0</v>
      </c>
      <c r="AK207" s="666">
        <f>טבלה38[[#This Row],[ערב בישול 3]]*טבלה38[[#This Row],[מחיר ליח'' כולל ]]</f>
        <v>0</v>
      </c>
      <c r="AL207" s="666">
        <f>טבלה38[[#This Row],[ערב קטן 1]]*טבלה38[[#This Row],[מחיר ליח'' כולל ]]</f>
        <v>0</v>
      </c>
      <c r="AM207" s="666">
        <f>טבלה38[[#This Row],[ערב קטן 2]]*טבלה38[[#This Row],[מחיר ליח'' כולל ]]</f>
        <v>0</v>
      </c>
      <c r="AN207" s="666">
        <f>טבלה38[[#This Row],[ערב קטן 3]]*טבלה38[[#This Row],[מחיר ליח'' כולל ]]</f>
        <v>0</v>
      </c>
      <c r="AO207" s="666">
        <f>טבלה38[[#This Row],[קיטים מיוחדים]]*טבלה38[[#This Row],[מחיר ליח'' כולל ]]</f>
        <v>0</v>
      </c>
      <c r="AP207" s="666">
        <f>טבלה38[[#This Row],[תוספות]]*טבלה38[[#This Row],[מחיר ליח'' כולל ]]</f>
        <v>0</v>
      </c>
    </row>
    <row r="208" spans="2:42" ht="14.4">
      <c r="B208" s="651">
        <v>11601</v>
      </c>
      <c r="C208" s="650" t="s">
        <v>1100</v>
      </c>
      <c r="D208" s="650" t="s">
        <v>602</v>
      </c>
      <c r="E208" s="650"/>
      <c r="F208" s="649" t="str">
        <f>IF(טבלה38[[#This Row],[סה"כ]]&gt;0,טבלה38[[#This Row],[סה"כ]],"")</f>
        <v/>
      </c>
      <c r="G208" s="656">
        <v>0.17</v>
      </c>
      <c r="H208" s="655">
        <f>טבלה38[[#This Row],[מחיר]]+טבלה38[[#This Row],[% מע"מ]]*טבלה38[[#This Row],[מחיר]]</f>
        <v>0</v>
      </c>
      <c r="I208" s="630">
        <f>טבלה38[[#This Row],[סה"כ]]*טבלה38[[#This Row],[מחיר ליח'' כולל ]]</f>
        <v>0</v>
      </c>
      <c r="J208" s="655">
        <f>SUM(טבלה38[[#This Row],[פימת קפה]:[תוספות]])</f>
        <v>0</v>
      </c>
      <c r="K208" s="655">
        <f>SUMIF(טבלה11517[מקט],טבלה38[[#This Row],[קוד מוצר]],טבלה11517[כמות])</f>
        <v>0</v>
      </c>
      <c r="L208" s="655">
        <f>SUMIF(טבלה115179[מקט],טבלה38[[#This Row],[קוד מוצר]],טבלה115179[כמות])</f>
        <v>0</v>
      </c>
      <c r="M208" s="655">
        <f>SUMIF(טבלה115[מקט],טבלה38[[#This Row],[קוד מוצר]],טבלה115[כמות])</f>
        <v>0</v>
      </c>
      <c r="N208" s="655">
        <f>SUMIF(טבלה1[מק"ט],טבלה38[[#This Row],[קוד מוצר]],טבלה1[כמות])</f>
        <v>0</v>
      </c>
      <c r="O208" s="655">
        <f>SUMIF(טבלה8[מק"ט],טבלה38[[#This Row],[קוד מוצר]],טבלה8[הזמנה])</f>
        <v>0</v>
      </c>
      <c r="P208" s="655">
        <f>SUMIF(טבלה15[מק"ט],טבלה38[[#This Row],[קוד מוצר]],טבלה15[הזמנה])</f>
        <v>0</v>
      </c>
      <c r="Q208" s="655">
        <f>SUMIF(טבלה1151718[מקט],טבלה38[[#This Row],[קוד מוצר]],טבלה1151718[כמות])</f>
        <v>0</v>
      </c>
      <c r="R208" s="655">
        <f>SUMIF(טבלה125[מקט],טבלה38[[#This Row],[קוד מוצר]],טבלה125[כמות])</f>
        <v>0</v>
      </c>
      <c r="S208" s="655">
        <f>SUMIF(טבלה33[מק"ט],טבלה38[[#This Row],[קוד מוצר]],טבלה33[הזמנה])</f>
        <v>0</v>
      </c>
      <c r="T208" s="655">
        <f>SUMIF(טבלה34[עמודה1],טבלה38[[#This Row],[קוד מוצר]],טבלה34[הזמנה])</f>
        <v>0</v>
      </c>
      <c r="U208" s="655">
        <f>SUMIF(טבלה35[עמודה1],טבלה38[[#This Row],[קוד מוצר]],טבלה35[הזמנה])</f>
        <v>0</v>
      </c>
      <c r="V208" s="655">
        <f>SUMIF(טבלה3338[מק"ט],טבלה38[[#This Row],[קוד מוצר]],טבלה3338[הזמנה])</f>
        <v>0</v>
      </c>
      <c r="W208" s="655">
        <f>SUMIF(טבלה3540[עמודה1],טבלה38[[#This Row],[קוד מוצר]],טבלה3540[הזמנה])</f>
        <v>0</v>
      </c>
      <c r="X208" s="655">
        <f>SUMIF(טבלה3441[עמודה1],טבלה38[[#This Row],[קוד מוצר]],טבלה3441[הזמנה])</f>
        <v>0</v>
      </c>
      <c r="Y208" s="655">
        <f>SUMIF(טבלה24[מקט],טבלה38[[#This Row],[קוד מוצר]],טבלה24[כמות])</f>
        <v>0</v>
      </c>
      <c r="Z208" s="655">
        <f>SUMIF(טבלה628[קוד מוצר],טבלה38[[#This Row],[קוד מוצר]],טבלה628[תוספת])</f>
        <v>0</v>
      </c>
      <c r="AA208" s="610">
        <f>טבלה38[[#This Row],[פימת קפה]]*טבלה38[[#This Row],[מחיר ליח'' כולל ]]</f>
        <v>0</v>
      </c>
      <c r="AB208" s="610">
        <f>טבלה38[[#This Row],[פת שחרית]]*טבלה38[[#This Row],[מחיר ליח'' כולל ]]</f>
        <v>0</v>
      </c>
      <c r="AC208" s="610">
        <f>טבלה38[[#This Row],[א. בוקר פריסה]]*טבלה38[[#This Row],[מחיר ליח'' כולל ]]</f>
        <v>0</v>
      </c>
      <c r="AD208" s="666">
        <f>טבלה38[[#This Row],[א. צהררים פריסה ]]*טבלה38[[#This Row],[מחיר ליח'' כולל ]]</f>
        <v>0</v>
      </c>
      <c r="AE208" s="666">
        <f>טבלה38[[#This Row],[בוקר קיטים]]*טבלה38[[#This Row],[מחיר ליח'' כולל ]]</f>
        <v>0</v>
      </c>
      <c r="AF208" s="666">
        <f>טבלה38[[#This Row],[צהריים קיטים]]*טבלה38[[#This Row],[מחיר ליח'' כולל ]]</f>
        <v>0</v>
      </c>
      <c r="AG208" s="666">
        <f>טבלה38[[#This Row],[פריסת אמצע]]*טבלה38[[#This Row],[מחיר ליח'' כולל ]]</f>
        <v>0</v>
      </c>
      <c r="AH208" s="666">
        <f>טבלה38[[#This Row],[מרק]]*טבלה38[[#This Row],[מחיר ליח'' כולל ]]</f>
        <v>0</v>
      </c>
      <c r="AI208" s="666">
        <f>טבלה38[[#This Row],[ערב בישול 1]]*טבלה38[[#This Row],[מחיר ליח'' כולל ]]</f>
        <v>0</v>
      </c>
      <c r="AJ208" s="666">
        <f>טבלה38[[#This Row],[ערב בישול 2]]*טבלה38[[#This Row],[מחיר ליח'' כולל ]]</f>
        <v>0</v>
      </c>
      <c r="AK208" s="666">
        <f>טבלה38[[#This Row],[ערב בישול 3]]*טבלה38[[#This Row],[מחיר ליח'' כולל ]]</f>
        <v>0</v>
      </c>
      <c r="AL208" s="666">
        <f>טבלה38[[#This Row],[ערב קטן 1]]*טבלה38[[#This Row],[מחיר ליח'' כולל ]]</f>
        <v>0</v>
      </c>
      <c r="AM208" s="666">
        <f>טבלה38[[#This Row],[ערב קטן 2]]*טבלה38[[#This Row],[מחיר ליח'' כולל ]]</f>
        <v>0</v>
      </c>
      <c r="AN208" s="666">
        <f>טבלה38[[#This Row],[ערב קטן 3]]*טבלה38[[#This Row],[מחיר ליח'' כולל ]]</f>
        <v>0</v>
      </c>
      <c r="AO208" s="666">
        <f>טבלה38[[#This Row],[קיטים מיוחדים]]*טבלה38[[#This Row],[מחיר ליח'' כולל ]]</f>
        <v>0</v>
      </c>
      <c r="AP208" s="666">
        <f>טבלה38[[#This Row],[תוספות]]*טבלה38[[#This Row],[מחיר ליח'' כולל ]]</f>
        <v>0</v>
      </c>
    </row>
    <row r="209" spans="2:42" ht="14.4">
      <c r="B209" s="651">
        <v>11602</v>
      </c>
      <c r="C209" s="650" t="s">
        <v>1098</v>
      </c>
      <c r="D209" s="650" t="s">
        <v>602</v>
      </c>
      <c r="E209" s="650"/>
      <c r="F209" s="649" t="str">
        <f>IF(טבלה38[[#This Row],[סה"כ]]&gt;0,טבלה38[[#This Row],[סה"כ]],"")</f>
        <v/>
      </c>
      <c r="G209" s="656">
        <v>0.17</v>
      </c>
      <c r="H209" s="655">
        <f>טבלה38[[#This Row],[מחיר]]+טבלה38[[#This Row],[% מע"מ]]*טבלה38[[#This Row],[מחיר]]</f>
        <v>0</v>
      </c>
      <c r="I209" s="630">
        <f>טבלה38[[#This Row],[סה"כ]]*טבלה38[[#This Row],[מחיר ליח'' כולל ]]</f>
        <v>0</v>
      </c>
      <c r="J209" s="655">
        <f>SUM(טבלה38[[#This Row],[פימת קפה]:[תוספות]])</f>
        <v>0</v>
      </c>
      <c r="K209" s="655">
        <f>SUMIF(טבלה11517[מקט],טבלה38[[#This Row],[קוד מוצר]],טבלה11517[כמות])</f>
        <v>0</v>
      </c>
      <c r="L209" s="655">
        <f>SUMIF(טבלה115179[מקט],טבלה38[[#This Row],[קוד מוצר]],טבלה115179[כמות])</f>
        <v>0</v>
      </c>
      <c r="M209" s="655">
        <f>SUMIF(טבלה115[מקט],טבלה38[[#This Row],[קוד מוצר]],טבלה115[כמות])</f>
        <v>0</v>
      </c>
      <c r="N209" s="655">
        <f>SUMIF(טבלה1[מק"ט],טבלה38[[#This Row],[קוד מוצר]],טבלה1[כמות])</f>
        <v>0</v>
      </c>
      <c r="O209" s="655">
        <f>SUMIF(טבלה8[מק"ט],טבלה38[[#This Row],[קוד מוצר]],טבלה8[הזמנה])</f>
        <v>0</v>
      </c>
      <c r="P209" s="655">
        <f>SUMIF(טבלה15[מק"ט],טבלה38[[#This Row],[קוד מוצר]],טבלה15[הזמנה])</f>
        <v>0</v>
      </c>
      <c r="Q209" s="655">
        <f>SUMIF(טבלה1151718[מקט],טבלה38[[#This Row],[קוד מוצר]],טבלה1151718[כמות])</f>
        <v>0</v>
      </c>
      <c r="R209" s="655">
        <f>SUMIF(טבלה125[מקט],טבלה38[[#This Row],[קוד מוצר]],טבלה125[כמות])</f>
        <v>0</v>
      </c>
      <c r="S209" s="655">
        <f>SUMIF(טבלה33[מק"ט],טבלה38[[#This Row],[קוד מוצר]],טבלה33[הזמנה])</f>
        <v>0</v>
      </c>
      <c r="T209" s="655">
        <f>SUMIF(טבלה34[עמודה1],טבלה38[[#This Row],[קוד מוצר]],טבלה34[הזמנה])</f>
        <v>0</v>
      </c>
      <c r="U209" s="655">
        <f>SUMIF(טבלה35[עמודה1],טבלה38[[#This Row],[קוד מוצר]],טבלה35[הזמנה])</f>
        <v>0</v>
      </c>
      <c r="V209" s="655">
        <f>SUMIF(טבלה3338[מק"ט],טבלה38[[#This Row],[קוד מוצר]],טבלה3338[הזמנה])</f>
        <v>0</v>
      </c>
      <c r="W209" s="655">
        <f>SUMIF(טבלה3540[עמודה1],טבלה38[[#This Row],[קוד מוצר]],טבלה3540[הזמנה])</f>
        <v>0</v>
      </c>
      <c r="X209" s="655">
        <f>SUMIF(טבלה3441[עמודה1],טבלה38[[#This Row],[קוד מוצר]],טבלה3441[הזמנה])</f>
        <v>0</v>
      </c>
      <c r="Y209" s="655">
        <f>SUMIF(טבלה24[מקט],טבלה38[[#This Row],[קוד מוצר]],טבלה24[כמות])</f>
        <v>0</v>
      </c>
      <c r="Z209" s="655">
        <f>SUMIF(טבלה628[קוד מוצר],טבלה38[[#This Row],[קוד מוצר]],טבלה628[תוספת])</f>
        <v>0</v>
      </c>
      <c r="AA209" s="610">
        <f>טבלה38[[#This Row],[פימת קפה]]*טבלה38[[#This Row],[מחיר ליח'' כולל ]]</f>
        <v>0</v>
      </c>
      <c r="AB209" s="610">
        <f>טבלה38[[#This Row],[פת שחרית]]*טבלה38[[#This Row],[מחיר ליח'' כולל ]]</f>
        <v>0</v>
      </c>
      <c r="AC209" s="610">
        <f>טבלה38[[#This Row],[א. בוקר פריסה]]*טבלה38[[#This Row],[מחיר ליח'' כולל ]]</f>
        <v>0</v>
      </c>
      <c r="AD209" s="666">
        <f>טבלה38[[#This Row],[א. צהררים פריסה ]]*טבלה38[[#This Row],[מחיר ליח'' כולל ]]</f>
        <v>0</v>
      </c>
      <c r="AE209" s="666">
        <f>טבלה38[[#This Row],[בוקר קיטים]]*טבלה38[[#This Row],[מחיר ליח'' כולל ]]</f>
        <v>0</v>
      </c>
      <c r="AF209" s="666">
        <f>טבלה38[[#This Row],[צהריים קיטים]]*טבלה38[[#This Row],[מחיר ליח'' כולל ]]</f>
        <v>0</v>
      </c>
      <c r="AG209" s="666">
        <f>טבלה38[[#This Row],[פריסת אמצע]]*טבלה38[[#This Row],[מחיר ליח'' כולל ]]</f>
        <v>0</v>
      </c>
      <c r="AH209" s="666">
        <f>טבלה38[[#This Row],[מרק]]*טבלה38[[#This Row],[מחיר ליח'' כולל ]]</f>
        <v>0</v>
      </c>
      <c r="AI209" s="666">
        <f>טבלה38[[#This Row],[ערב בישול 1]]*טבלה38[[#This Row],[מחיר ליח'' כולל ]]</f>
        <v>0</v>
      </c>
      <c r="AJ209" s="666">
        <f>טבלה38[[#This Row],[ערב בישול 2]]*טבלה38[[#This Row],[מחיר ליח'' כולל ]]</f>
        <v>0</v>
      </c>
      <c r="AK209" s="666">
        <f>טבלה38[[#This Row],[ערב בישול 3]]*טבלה38[[#This Row],[מחיר ליח'' כולל ]]</f>
        <v>0</v>
      </c>
      <c r="AL209" s="666">
        <f>טבלה38[[#This Row],[ערב קטן 1]]*טבלה38[[#This Row],[מחיר ליח'' כולל ]]</f>
        <v>0</v>
      </c>
      <c r="AM209" s="666">
        <f>טבלה38[[#This Row],[ערב קטן 2]]*טבלה38[[#This Row],[מחיר ליח'' כולל ]]</f>
        <v>0</v>
      </c>
      <c r="AN209" s="666">
        <f>טבלה38[[#This Row],[ערב קטן 3]]*טבלה38[[#This Row],[מחיר ליח'' כולל ]]</f>
        <v>0</v>
      </c>
      <c r="AO209" s="666">
        <f>טבלה38[[#This Row],[קיטים מיוחדים]]*טבלה38[[#This Row],[מחיר ליח'' כולל ]]</f>
        <v>0</v>
      </c>
      <c r="AP209" s="666">
        <f>טבלה38[[#This Row],[תוספות]]*טבלה38[[#This Row],[מחיר ליח'' כולל ]]</f>
        <v>0</v>
      </c>
    </row>
    <row r="210" spans="2:42" ht="14.4">
      <c r="B210" s="651">
        <v>11603</v>
      </c>
      <c r="C210" s="650" t="s">
        <v>1096</v>
      </c>
      <c r="D210" s="650" t="s">
        <v>602</v>
      </c>
      <c r="E210" s="650"/>
      <c r="F210" s="649" t="str">
        <f>IF(טבלה38[[#This Row],[סה"כ]]&gt;0,טבלה38[[#This Row],[סה"כ]],"")</f>
        <v/>
      </c>
      <c r="G210" s="656">
        <v>0.17</v>
      </c>
      <c r="H210" s="655">
        <f>טבלה38[[#This Row],[מחיר]]+טבלה38[[#This Row],[% מע"מ]]*טבלה38[[#This Row],[מחיר]]</f>
        <v>0</v>
      </c>
      <c r="I210" s="630">
        <f>טבלה38[[#This Row],[סה"כ]]*טבלה38[[#This Row],[מחיר ליח'' כולל ]]</f>
        <v>0</v>
      </c>
      <c r="J210" s="655">
        <f>SUM(טבלה38[[#This Row],[פימת קפה]:[תוספות]])</f>
        <v>0</v>
      </c>
      <c r="K210" s="655">
        <f>SUMIF(טבלה11517[מקט],טבלה38[[#This Row],[קוד מוצר]],טבלה11517[כמות])</f>
        <v>0</v>
      </c>
      <c r="L210" s="655">
        <f>SUMIF(טבלה115179[מקט],טבלה38[[#This Row],[קוד מוצר]],טבלה115179[כמות])</f>
        <v>0</v>
      </c>
      <c r="M210" s="655">
        <f>SUMIF(טבלה115[מקט],טבלה38[[#This Row],[קוד מוצר]],טבלה115[כמות])</f>
        <v>0</v>
      </c>
      <c r="N210" s="655">
        <f>SUMIF(טבלה1[מק"ט],טבלה38[[#This Row],[קוד מוצר]],טבלה1[כמות])</f>
        <v>0</v>
      </c>
      <c r="O210" s="655">
        <f>SUMIF(טבלה8[מק"ט],טבלה38[[#This Row],[קוד מוצר]],טבלה8[הזמנה])</f>
        <v>0</v>
      </c>
      <c r="P210" s="655">
        <f>SUMIF(טבלה15[מק"ט],טבלה38[[#This Row],[קוד מוצר]],טבלה15[הזמנה])</f>
        <v>0</v>
      </c>
      <c r="Q210" s="655">
        <f>SUMIF(טבלה1151718[מקט],טבלה38[[#This Row],[קוד מוצר]],טבלה1151718[כמות])</f>
        <v>0</v>
      </c>
      <c r="R210" s="655">
        <f>SUMIF(טבלה125[מקט],טבלה38[[#This Row],[קוד מוצר]],טבלה125[כמות])</f>
        <v>0</v>
      </c>
      <c r="S210" s="655">
        <f>SUMIF(טבלה33[מק"ט],טבלה38[[#This Row],[קוד מוצר]],טבלה33[הזמנה])</f>
        <v>0</v>
      </c>
      <c r="T210" s="655">
        <f>SUMIF(טבלה34[עמודה1],טבלה38[[#This Row],[קוד מוצר]],טבלה34[הזמנה])</f>
        <v>0</v>
      </c>
      <c r="U210" s="655">
        <f>SUMIF(טבלה35[עמודה1],טבלה38[[#This Row],[קוד מוצר]],טבלה35[הזמנה])</f>
        <v>0</v>
      </c>
      <c r="V210" s="655">
        <f>SUMIF(טבלה3338[מק"ט],טבלה38[[#This Row],[קוד מוצר]],טבלה3338[הזמנה])</f>
        <v>0</v>
      </c>
      <c r="W210" s="655">
        <f>SUMIF(טבלה3540[עמודה1],טבלה38[[#This Row],[קוד מוצר]],טבלה3540[הזמנה])</f>
        <v>0</v>
      </c>
      <c r="X210" s="655">
        <f>SUMIF(טבלה3441[עמודה1],טבלה38[[#This Row],[קוד מוצר]],טבלה3441[הזמנה])</f>
        <v>0</v>
      </c>
      <c r="Y210" s="655">
        <f>SUMIF(טבלה24[מקט],טבלה38[[#This Row],[קוד מוצר]],טבלה24[כמות])</f>
        <v>0</v>
      </c>
      <c r="Z210" s="655">
        <f>SUMIF(טבלה628[קוד מוצר],טבלה38[[#This Row],[קוד מוצר]],טבלה628[תוספת])</f>
        <v>0</v>
      </c>
      <c r="AA210" s="610">
        <f>טבלה38[[#This Row],[פימת קפה]]*טבלה38[[#This Row],[מחיר ליח'' כולל ]]</f>
        <v>0</v>
      </c>
      <c r="AB210" s="610">
        <f>טבלה38[[#This Row],[פת שחרית]]*טבלה38[[#This Row],[מחיר ליח'' כולל ]]</f>
        <v>0</v>
      </c>
      <c r="AC210" s="610">
        <f>טבלה38[[#This Row],[א. בוקר פריסה]]*טבלה38[[#This Row],[מחיר ליח'' כולל ]]</f>
        <v>0</v>
      </c>
      <c r="AD210" s="666">
        <f>טבלה38[[#This Row],[א. צהררים פריסה ]]*טבלה38[[#This Row],[מחיר ליח'' כולל ]]</f>
        <v>0</v>
      </c>
      <c r="AE210" s="666">
        <f>טבלה38[[#This Row],[בוקר קיטים]]*טבלה38[[#This Row],[מחיר ליח'' כולל ]]</f>
        <v>0</v>
      </c>
      <c r="AF210" s="666">
        <f>טבלה38[[#This Row],[צהריים קיטים]]*טבלה38[[#This Row],[מחיר ליח'' כולל ]]</f>
        <v>0</v>
      </c>
      <c r="AG210" s="666">
        <f>טבלה38[[#This Row],[פריסת אמצע]]*טבלה38[[#This Row],[מחיר ליח'' כולל ]]</f>
        <v>0</v>
      </c>
      <c r="AH210" s="666">
        <f>טבלה38[[#This Row],[מרק]]*טבלה38[[#This Row],[מחיר ליח'' כולל ]]</f>
        <v>0</v>
      </c>
      <c r="AI210" s="666">
        <f>טבלה38[[#This Row],[ערב בישול 1]]*טבלה38[[#This Row],[מחיר ליח'' כולל ]]</f>
        <v>0</v>
      </c>
      <c r="AJ210" s="666">
        <f>טבלה38[[#This Row],[ערב בישול 2]]*טבלה38[[#This Row],[מחיר ליח'' כולל ]]</f>
        <v>0</v>
      </c>
      <c r="AK210" s="666">
        <f>טבלה38[[#This Row],[ערב בישול 3]]*טבלה38[[#This Row],[מחיר ליח'' כולל ]]</f>
        <v>0</v>
      </c>
      <c r="AL210" s="666">
        <f>טבלה38[[#This Row],[ערב קטן 1]]*טבלה38[[#This Row],[מחיר ליח'' כולל ]]</f>
        <v>0</v>
      </c>
      <c r="AM210" s="666">
        <f>טבלה38[[#This Row],[ערב קטן 2]]*טבלה38[[#This Row],[מחיר ליח'' כולל ]]</f>
        <v>0</v>
      </c>
      <c r="AN210" s="666">
        <f>טבלה38[[#This Row],[ערב קטן 3]]*טבלה38[[#This Row],[מחיר ליח'' כולל ]]</f>
        <v>0</v>
      </c>
      <c r="AO210" s="666">
        <f>טבלה38[[#This Row],[קיטים מיוחדים]]*טבלה38[[#This Row],[מחיר ליח'' כולל ]]</f>
        <v>0</v>
      </c>
      <c r="AP210" s="666">
        <f>טבלה38[[#This Row],[תוספות]]*טבלה38[[#This Row],[מחיר ליח'' כולל ]]</f>
        <v>0</v>
      </c>
    </row>
    <row r="211" spans="2:42" ht="14.4">
      <c r="B211" s="651">
        <v>11672</v>
      </c>
      <c r="C211" s="650" t="s">
        <v>1030</v>
      </c>
      <c r="D211" s="650" t="s">
        <v>602</v>
      </c>
      <c r="E211" s="650"/>
      <c r="F211" s="649" t="str">
        <f>IF(טבלה38[[#This Row],[סה"כ]]&gt;0,טבלה38[[#This Row],[סה"כ]],"")</f>
        <v/>
      </c>
      <c r="G211" s="656">
        <v>0.17</v>
      </c>
      <c r="H211" s="655">
        <f>טבלה38[[#This Row],[מחיר]]+טבלה38[[#This Row],[% מע"מ]]*טבלה38[[#This Row],[מחיר]]</f>
        <v>0</v>
      </c>
      <c r="I211" s="630">
        <f>טבלה38[[#This Row],[סה"כ]]*טבלה38[[#This Row],[מחיר ליח'' כולל ]]</f>
        <v>0</v>
      </c>
      <c r="J211" s="655">
        <f>SUM(טבלה38[[#This Row],[פימת קפה]:[תוספות]])</f>
        <v>0</v>
      </c>
      <c r="K211" s="655">
        <f>SUMIF(טבלה11517[מקט],טבלה38[[#This Row],[קוד מוצר]],טבלה11517[כמות])</f>
        <v>0</v>
      </c>
      <c r="L211" s="655">
        <f>SUMIF(טבלה115179[מקט],טבלה38[[#This Row],[קוד מוצר]],טבלה115179[כמות])</f>
        <v>0</v>
      </c>
      <c r="M211" s="655">
        <f>SUMIF(טבלה115[מקט],טבלה38[[#This Row],[קוד מוצר]],טבלה115[כמות])</f>
        <v>0</v>
      </c>
      <c r="N211" s="655">
        <f>SUMIF(טבלה1[מק"ט],טבלה38[[#This Row],[קוד מוצר]],טבלה1[כמות])</f>
        <v>0</v>
      </c>
      <c r="O211" s="655">
        <f>SUMIF(טבלה8[מק"ט],טבלה38[[#This Row],[קוד מוצר]],טבלה8[הזמנה])</f>
        <v>0</v>
      </c>
      <c r="P211" s="655">
        <f>SUMIF(טבלה15[מק"ט],טבלה38[[#This Row],[קוד מוצר]],טבלה15[הזמנה])</f>
        <v>0</v>
      </c>
      <c r="Q211" s="655">
        <f>SUMIF(טבלה1151718[מקט],טבלה38[[#This Row],[קוד מוצר]],טבלה1151718[כמות])</f>
        <v>0</v>
      </c>
      <c r="R211" s="655">
        <f>SUMIF(טבלה125[מקט],טבלה38[[#This Row],[קוד מוצר]],טבלה125[כמות])</f>
        <v>0</v>
      </c>
      <c r="S211" s="655">
        <f>SUMIF(טבלה33[מק"ט],טבלה38[[#This Row],[קוד מוצר]],טבלה33[הזמנה])</f>
        <v>0</v>
      </c>
      <c r="T211" s="655">
        <f>SUMIF(טבלה34[עמודה1],טבלה38[[#This Row],[קוד מוצר]],טבלה34[הזמנה])</f>
        <v>0</v>
      </c>
      <c r="U211" s="655">
        <f>SUMIF(טבלה35[עמודה1],טבלה38[[#This Row],[קוד מוצר]],טבלה35[הזמנה])</f>
        <v>0</v>
      </c>
      <c r="V211" s="655">
        <f>SUMIF(טבלה3338[מק"ט],טבלה38[[#This Row],[קוד מוצר]],טבלה3338[הזמנה])</f>
        <v>0</v>
      </c>
      <c r="W211" s="655">
        <f>SUMIF(טבלה3540[עמודה1],טבלה38[[#This Row],[קוד מוצר]],טבלה3540[הזמנה])</f>
        <v>0</v>
      </c>
      <c r="X211" s="655">
        <f>SUMIF(טבלה3441[עמודה1],טבלה38[[#This Row],[קוד מוצר]],טבלה3441[הזמנה])</f>
        <v>0</v>
      </c>
      <c r="Y211" s="655">
        <f>SUMIF(טבלה24[מקט],טבלה38[[#This Row],[קוד מוצר]],טבלה24[כמות])</f>
        <v>0</v>
      </c>
      <c r="Z211" s="655">
        <f>SUMIF(טבלה628[קוד מוצר],טבלה38[[#This Row],[קוד מוצר]],טבלה628[תוספת])</f>
        <v>0</v>
      </c>
      <c r="AA211" s="610">
        <f>טבלה38[[#This Row],[פימת קפה]]*טבלה38[[#This Row],[מחיר ליח'' כולל ]]</f>
        <v>0</v>
      </c>
      <c r="AB211" s="610">
        <f>טבלה38[[#This Row],[פת שחרית]]*טבלה38[[#This Row],[מחיר ליח'' כולל ]]</f>
        <v>0</v>
      </c>
      <c r="AC211" s="610">
        <f>טבלה38[[#This Row],[א. בוקר פריסה]]*טבלה38[[#This Row],[מחיר ליח'' כולל ]]</f>
        <v>0</v>
      </c>
      <c r="AD211" s="666">
        <f>טבלה38[[#This Row],[א. צהררים פריסה ]]*טבלה38[[#This Row],[מחיר ליח'' כולל ]]</f>
        <v>0</v>
      </c>
      <c r="AE211" s="666">
        <f>טבלה38[[#This Row],[בוקר קיטים]]*טבלה38[[#This Row],[מחיר ליח'' כולל ]]</f>
        <v>0</v>
      </c>
      <c r="AF211" s="666">
        <f>טבלה38[[#This Row],[צהריים קיטים]]*טבלה38[[#This Row],[מחיר ליח'' כולל ]]</f>
        <v>0</v>
      </c>
      <c r="AG211" s="666">
        <f>טבלה38[[#This Row],[פריסת אמצע]]*טבלה38[[#This Row],[מחיר ליח'' כולל ]]</f>
        <v>0</v>
      </c>
      <c r="AH211" s="666">
        <f>טבלה38[[#This Row],[מרק]]*טבלה38[[#This Row],[מחיר ליח'' כולל ]]</f>
        <v>0</v>
      </c>
      <c r="AI211" s="666">
        <f>טבלה38[[#This Row],[ערב בישול 1]]*טבלה38[[#This Row],[מחיר ליח'' כולל ]]</f>
        <v>0</v>
      </c>
      <c r="AJ211" s="666">
        <f>טבלה38[[#This Row],[ערב בישול 2]]*טבלה38[[#This Row],[מחיר ליח'' כולל ]]</f>
        <v>0</v>
      </c>
      <c r="AK211" s="666">
        <f>טבלה38[[#This Row],[ערב בישול 3]]*טבלה38[[#This Row],[מחיר ליח'' כולל ]]</f>
        <v>0</v>
      </c>
      <c r="AL211" s="666">
        <f>טבלה38[[#This Row],[ערב קטן 1]]*טבלה38[[#This Row],[מחיר ליח'' כולל ]]</f>
        <v>0</v>
      </c>
      <c r="AM211" s="666">
        <f>טבלה38[[#This Row],[ערב קטן 2]]*טבלה38[[#This Row],[מחיר ליח'' כולל ]]</f>
        <v>0</v>
      </c>
      <c r="AN211" s="666">
        <f>טבלה38[[#This Row],[ערב קטן 3]]*טבלה38[[#This Row],[מחיר ליח'' כולל ]]</f>
        <v>0</v>
      </c>
      <c r="AO211" s="666">
        <f>טבלה38[[#This Row],[קיטים מיוחדים]]*טבלה38[[#This Row],[מחיר ליח'' כולל ]]</f>
        <v>0</v>
      </c>
      <c r="AP211" s="666">
        <f>טבלה38[[#This Row],[תוספות]]*טבלה38[[#This Row],[מחיר ליח'' כולל ]]</f>
        <v>0</v>
      </c>
    </row>
    <row r="212" spans="2:42" ht="14.4">
      <c r="B212" s="651">
        <v>11858</v>
      </c>
      <c r="C212" s="650" t="s">
        <v>1159</v>
      </c>
      <c r="D212" s="650" t="s">
        <v>602</v>
      </c>
      <c r="E212" s="650"/>
      <c r="F212" s="649" t="str">
        <f ca="1">IF(טבלה38[[#This Row],[סה"כ]]&gt;0,טבלה38[[#This Row],[סה"כ]],"")</f>
        <v/>
      </c>
      <c r="G212" s="656">
        <v>0.17</v>
      </c>
      <c r="H212" s="655">
        <f>טבלה38[[#This Row],[מחיר]]+טבלה38[[#This Row],[% מע"מ]]*טבלה38[[#This Row],[מחיר]]</f>
        <v>0</v>
      </c>
      <c r="I212" s="630">
        <f ca="1">טבלה38[[#This Row],[סה"כ]]*טבלה38[[#This Row],[מחיר ליח'' כולל ]]</f>
        <v>0</v>
      </c>
      <c r="J212" s="655">
        <f ca="1">SUM(טבלה38[[#This Row],[פימת קפה]:[תוספות]])</f>
        <v>0</v>
      </c>
      <c r="K212" s="655">
        <f>SUMIF(טבלה11517[מקט],טבלה38[[#This Row],[קוד מוצר]],טבלה11517[כמות])</f>
        <v>0</v>
      </c>
      <c r="L212" s="655">
        <f>SUMIF(טבלה115179[מקט],טבלה38[[#This Row],[קוד מוצר]],טבלה115179[כמות])</f>
        <v>0</v>
      </c>
      <c r="M212" s="655">
        <f>SUMIF(טבלה115[מקט],טבלה38[[#This Row],[קוד מוצר]],טבלה115[כמות])</f>
        <v>0</v>
      </c>
      <c r="N212" s="655">
        <f>SUMIF(טבלה1[מק"ט],טבלה38[[#This Row],[קוד מוצר]],טבלה1[כמות])</f>
        <v>0</v>
      </c>
      <c r="O212" s="655">
        <f>SUMIF(טבלה8[מק"ט],טבלה38[[#This Row],[קוד מוצר]],טבלה8[הזמנה])</f>
        <v>0</v>
      </c>
      <c r="P212" s="655">
        <f>SUMIF(טבלה15[מק"ט],טבלה38[[#This Row],[קוד מוצר]],טבלה15[הזמנה])</f>
        <v>0</v>
      </c>
      <c r="Q212" s="655">
        <f>SUMIF(טבלה1151718[מקט],טבלה38[[#This Row],[קוד מוצר]],טבלה1151718[כמות])</f>
        <v>0</v>
      </c>
      <c r="R212" s="655">
        <f>SUMIF(טבלה125[מקט],טבלה38[[#This Row],[קוד מוצר]],טבלה125[כמות])</f>
        <v>0</v>
      </c>
      <c r="S212" s="655">
        <f>SUMIF(טבלה33[מק"ט],טבלה38[[#This Row],[קוד מוצר]],טבלה33[הזמנה])</f>
        <v>0</v>
      </c>
      <c r="T212" s="655">
        <f>SUMIF(טבלה34[עמודה1],טבלה38[[#This Row],[קוד מוצר]],טבלה34[הזמנה])</f>
        <v>0</v>
      </c>
      <c r="U212" s="655">
        <f>SUMIF(טבלה35[עמודה1],טבלה38[[#This Row],[קוד מוצר]],טבלה35[הזמנה])</f>
        <v>0</v>
      </c>
      <c r="V212" s="655">
        <f>SUMIF(טבלה3338[מק"ט],טבלה38[[#This Row],[קוד מוצר]],טבלה3338[הזמנה])</f>
        <v>0</v>
      </c>
      <c r="W212" s="655">
        <f>SUMIF(טבלה3540[עמודה1],טבלה38[[#This Row],[קוד מוצר]],טבלה3540[הזמנה])</f>
        <v>0</v>
      </c>
      <c r="X212" s="655">
        <f>SUMIF(טבלה3441[עמודה1],טבלה38[[#This Row],[קוד מוצר]],טבלה3441[הזמנה])</f>
        <v>0</v>
      </c>
      <c r="Y212" s="655">
        <f ca="1">SUMIF(טבלה24[מקט],טבלה38[[#This Row],[קוד מוצר]],טבלה24[כמות])</f>
        <v>0</v>
      </c>
      <c r="Z212" s="655">
        <f>SUMIF(טבלה628[קוד מוצר],טבלה38[[#This Row],[קוד מוצר]],טבלה628[תוספת])</f>
        <v>0</v>
      </c>
      <c r="AA212" s="610">
        <f>טבלה38[[#This Row],[פימת קפה]]*טבלה38[[#This Row],[מחיר ליח'' כולל ]]</f>
        <v>0</v>
      </c>
      <c r="AB212" s="610">
        <f>טבלה38[[#This Row],[פת שחרית]]*טבלה38[[#This Row],[מחיר ליח'' כולל ]]</f>
        <v>0</v>
      </c>
      <c r="AC212" s="610">
        <f>טבלה38[[#This Row],[א. בוקר פריסה]]*טבלה38[[#This Row],[מחיר ליח'' כולל ]]</f>
        <v>0</v>
      </c>
      <c r="AD212" s="666">
        <f>טבלה38[[#This Row],[א. צהררים פריסה ]]*טבלה38[[#This Row],[מחיר ליח'' כולל ]]</f>
        <v>0</v>
      </c>
      <c r="AE212" s="666">
        <f>טבלה38[[#This Row],[בוקר קיטים]]*טבלה38[[#This Row],[מחיר ליח'' כולל ]]</f>
        <v>0</v>
      </c>
      <c r="AF212" s="666">
        <f>טבלה38[[#This Row],[צהריים קיטים]]*טבלה38[[#This Row],[מחיר ליח'' כולל ]]</f>
        <v>0</v>
      </c>
      <c r="AG212" s="666">
        <f>טבלה38[[#This Row],[פריסת אמצע]]*טבלה38[[#This Row],[מחיר ליח'' כולל ]]</f>
        <v>0</v>
      </c>
      <c r="AH212" s="666">
        <f>טבלה38[[#This Row],[מרק]]*טבלה38[[#This Row],[מחיר ליח'' כולל ]]</f>
        <v>0</v>
      </c>
      <c r="AI212" s="666">
        <f>טבלה38[[#This Row],[ערב בישול 1]]*טבלה38[[#This Row],[מחיר ליח'' כולל ]]</f>
        <v>0</v>
      </c>
      <c r="AJ212" s="666">
        <f>טבלה38[[#This Row],[ערב בישול 2]]*טבלה38[[#This Row],[מחיר ליח'' כולל ]]</f>
        <v>0</v>
      </c>
      <c r="AK212" s="666">
        <f>טבלה38[[#This Row],[ערב בישול 3]]*טבלה38[[#This Row],[מחיר ליח'' כולל ]]</f>
        <v>0</v>
      </c>
      <c r="AL212" s="666">
        <f>טבלה38[[#This Row],[ערב קטן 1]]*טבלה38[[#This Row],[מחיר ליח'' כולל ]]</f>
        <v>0</v>
      </c>
      <c r="AM212" s="666">
        <f>טבלה38[[#This Row],[ערב קטן 2]]*טבלה38[[#This Row],[מחיר ליח'' כולל ]]</f>
        <v>0</v>
      </c>
      <c r="AN212" s="666">
        <f>טבלה38[[#This Row],[ערב קטן 3]]*טבלה38[[#This Row],[מחיר ליח'' כולל ]]</f>
        <v>0</v>
      </c>
      <c r="AO212" s="666">
        <f ca="1">טבלה38[[#This Row],[קיטים מיוחדים]]*טבלה38[[#This Row],[מחיר ליח'' כולל ]]</f>
        <v>0</v>
      </c>
      <c r="AP212" s="666">
        <f>טבלה38[[#This Row],[תוספות]]*טבלה38[[#This Row],[מחיר ליח'' כולל ]]</f>
        <v>0</v>
      </c>
    </row>
    <row r="213" spans="2:42" ht="14.4">
      <c r="B213" s="651">
        <v>99999</v>
      </c>
      <c r="C213" s="650" t="s">
        <v>433</v>
      </c>
      <c r="D213" s="650" t="s">
        <v>602</v>
      </c>
      <c r="E213" s="650"/>
      <c r="F213" s="649" t="str">
        <f>IF(טבלה38[[#This Row],[סה"כ]]&gt;0,טבלה38[[#This Row],[סה"כ]],"")</f>
        <v/>
      </c>
      <c r="G213" s="656">
        <v>0.17</v>
      </c>
      <c r="H213" s="655">
        <f>טבלה38[[#This Row],[מחיר]]+טבלה38[[#This Row],[% מע"מ]]*טבלה38[[#This Row],[מחיר]]</f>
        <v>0</v>
      </c>
      <c r="I213" s="630">
        <f>טבלה38[[#This Row],[סה"כ]]*טבלה38[[#This Row],[מחיר ליח'' כולל ]]</f>
        <v>0</v>
      </c>
      <c r="J213" s="655">
        <f>SUM(טבלה38[[#This Row],[פימת קפה]:[תוספות]])</f>
        <v>0</v>
      </c>
      <c r="K213" s="655">
        <f>SUMIF(טבלה11517[מקט],טבלה38[[#This Row],[קוד מוצר]],טבלה11517[כמות])</f>
        <v>0</v>
      </c>
      <c r="L213" s="655">
        <f>SUMIF(טבלה115179[מקט],טבלה38[[#This Row],[קוד מוצר]],טבלה115179[כמות])</f>
        <v>0</v>
      </c>
      <c r="M213" s="655">
        <f>SUMIF(טבלה115[מקט],טבלה38[[#This Row],[קוד מוצר]],טבלה115[כמות])</f>
        <v>0</v>
      </c>
      <c r="N213" s="655">
        <f>SUMIF(טבלה1[מק"ט],טבלה38[[#This Row],[קוד מוצר]],טבלה1[כמות])</f>
        <v>0</v>
      </c>
      <c r="O213" s="655">
        <f>SUMIF(טבלה8[מק"ט],טבלה38[[#This Row],[קוד מוצר]],טבלה8[הזמנה])</f>
        <v>0</v>
      </c>
      <c r="P213" s="655">
        <f>SUMIF(טבלה15[מק"ט],טבלה38[[#This Row],[קוד מוצר]],טבלה15[הזמנה])</f>
        <v>0</v>
      </c>
      <c r="Q213" s="655">
        <f>SUMIF(טבלה1151718[מקט],טבלה38[[#This Row],[קוד מוצר]],טבלה1151718[כמות])</f>
        <v>0</v>
      </c>
      <c r="R213" s="655">
        <f>SUMIF(טבלה125[מקט],טבלה38[[#This Row],[קוד מוצר]],טבלה125[כמות])</f>
        <v>0</v>
      </c>
      <c r="S213" s="655">
        <f>SUMIF(טבלה33[מק"ט],טבלה38[[#This Row],[קוד מוצר]],טבלה33[הזמנה])</f>
        <v>0</v>
      </c>
      <c r="T213" s="655">
        <f>SUMIF(טבלה34[עמודה1],טבלה38[[#This Row],[קוד מוצר]],טבלה34[הזמנה])</f>
        <v>0</v>
      </c>
      <c r="U213" s="655">
        <f>SUMIF(טבלה35[עמודה1],טבלה38[[#This Row],[קוד מוצר]],טבלה35[הזמנה])</f>
        <v>0</v>
      </c>
      <c r="V213" s="655">
        <f>SUMIF(טבלה3338[מק"ט],טבלה38[[#This Row],[קוד מוצר]],טבלה3338[הזמנה])</f>
        <v>0</v>
      </c>
      <c r="W213" s="655">
        <f>SUMIF(טבלה3540[עמודה1],טבלה38[[#This Row],[קוד מוצר]],טבלה3540[הזמנה])</f>
        <v>0</v>
      </c>
      <c r="X213" s="655">
        <f>SUMIF(טבלה3441[עמודה1],טבלה38[[#This Row],[קוד מוצר]],טבלה3441[הזמנה])</f>
        <v>0</v>
      </c>
      <c r="Y213" s="655">
        <f>SUMIF(טבלה24[מקט],טבלה38[[#This Row],[קוד מוצר]],טבלה24[כמות])</f>
        <v>0</v>
      </c>
      <c r="Z213" s="655">
        <f>SUMIF(טבלה628[קוד מוצר],טבלה38[[#This Row],[קוד מוצר]],טבלה628[תוספת])</f>
        <v>0</v>
      </c>
      <c r="AA213" s="610">
        <f>טבלה38[[#This Row],[פימת קפה]]*טבלה38[[#This Row],[מחיר ליח'' כולל ]]</f>
        <v>0</v>
      </c>
      <c r="AB213" s="610">
        <f>טבלה38[[#This Row],[פת שחרית]]*טבלה38[[#This Row],[מחיר ליח'' כולל ]]</f>
        <v>0</v>
      </c>
      <c r="AC213" s="610">
        <f>טבלה38[[#This Row],[א. בוקר פריסה]]*טבלה38[[#This Row],[מחיר ליח'' כולל ]]</f>
        <v>0</v>
      </c>
      <c r="AD213" s="666">
        <f>טבלה38[[#This Row],[א. צהררים פריסה ]]*טבלה38[[#This Row],[מחיר ליח'' כולל ]]</f>
        <v>0</v>
      </c>
      <c r="AE213" s="666">
        <f>טבלה38[[#This Row],[בוקר קיטים]]*טבלה38[[#This Row],[מחיר ליח'' כולל ]]</f>
        <v>0</v>
      </c>
      <c r="AF213" s="666">
        <f>טבלה38[[#This Row],[צהריים קיטים]]*טבלה38[[#This Row],[מחיר ליח'' כולל ]]</f>
        <v>0</v>
      </c>
      <c r="AG213" s="666">
        <f>טבלה38[[#This Row],[פריסת אמצע]]*טבלה38[[#This Row],[מחיר ליח'' כולל ]]</f>
        <v>0</v>
      </c>
      <c r="AH213" s="666">
        <f>טבלה38[[#This Row],[מרק]]*טבלה38[[#This Row],[מחיר ליח'' כולל ]]</f>
        <v>0</v>
      </c>
      <c r="AI213" s="666">
        <f>טבלה38[[#This Row],[ערב בישול 1]]*טבלה38[[#This Row],[מחיר ליח'' כולל ]]</f>
        <v>0</v>
      </c>
      <c r="AJ213" s="666">
        <f>טבלה38[[#This Row],[ערב בישול 2]]*טבלה38[[#This Row],[מחיר ליח'' כולל ]]</f>
        <v>0</v>
      </c>
      <c r="AK213" s="666">
        <f>טבלה38[[#This Row],[ערב בישול 3]]*טבלה38[[#This Row],[מחיר ליח'' כולל ]]</f>
        <v>0</v>
      </c>
      <c r="AL213" s="666">
        <f>טבלה38[[#This Row],[ערב קטן 1]]*טבלה38[[#This Row],[מחיר ליח'' כולל ]]</f>
        <v>0</v>
      </c>
      <c r="AM213" s="666">
        <f>טבלה38[[#This Row],[ערב קטן 2]]*טבלה38[[#This Row],[מחיר ליח'' כולל ]]</f>
        <v>0</v>
      </c>
      <c r="AN213" s="666">
        <f>טבלה38[[#This Row],[ערב קטן 3]]*טבלה38[[#This Row],[מחיר ליח'' כולל ]]</f>
        <v>0</v>
      </c>
      <c r="AO213" s="666">
        <f>טבלה38[[#This Row],[קיטים מיוחדים]]*טבלה38[[#This Row],[מחיר ליח'' כולל ]]</f>
        <v>0</v>
      </c>
      <c r="AP213" s="666">
        <f>טבלה38[[#This Row],[תוספות]]*טבלה38[[#This Row],[מחיר ליח'' כולל ]]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rightToLeft="1" zoomScaleNormal="100" workbookViewId="0">
      <selection activeCell="B13" sqref="B13"/>
    </sheetView>
  </sheetViews>
  <sheetFormatPr defaultColWidth="9.09765625" defaultRowHeight="16.5" customHeight="1"/>
  <cols>
    <col min="1" max="1" width="9.09765625" style="210"/>
    <col min="2" max="2" width="14.19921875" style="210" customWidth="1"/>
    <col min="3" max="3" width="11.09765625" style="242" bestFit="1" customWidth="1"/>
    <col min="4" max="4" width="20.59765625" style="265" bestFit="1" customWidth="1"/>
    <col min="5" max="5" width="11.09765625" style="210" customWidth="1"/>
    <col min="6" max="6" width="8.19921875" style="210" customWidth="1"/>
    <col min="7" max="7" width="7.19921875" style="242" customWidth="1"/>
    <col min="8" max="8" width="8.3984375" style="210" bestFit="1" customWidth="1"/>
    <col min="9" max="9" width="15.3984375" style="210" bestFit="1" customWidth="1"/>
    <col min="10" max="10" width="9.09765625" style="210"/>
    <col min="11" max="11" width="9.09765625" style="265"/>
    <col min="12" max="12" width="12.69921875" style="210" bestFit="1" customWidth="1"/>
    <col min="13" max="13" width="12.59765625" style="242" customWidth="1"/>
    <col min="14" max="14" width="11.69921875" style="210" bestFit="1" customWidth="1"/>
    <col min="15" max="15" width="13.3984375" style="291" customWidth="1"/>
    <col min="16" max="16" width="13.8984375" style="210" customWidth="1"/>
    <col min="17" max="17" width="9.09765625" style="210" customWidth="1"/>
    <col min="18" max="18" width="11.69921875" style="210" customWidth="1"/>
    <col min="19" max="19" width="9.09765625" style="210" customWidth="1"/>
    <col min="20" max="16384" width="9.09765625" style="210"/>
  </cols>
  <sheetData>
    <row r="1" spans="2:19" ht="16.5" customHeight="1">
      <c r="C1" s="411"/>
      <c r="D1" s="411"/>
      <c r="E1" s="411"/>
      <c r="F1" s="412"/>
      <c r="G1" s="412"/>
      <c r="H1" s="411"/>
      <c r="I1" s="411"/>
    </row>
    <row r="2" spans="2:19" ht="16.5" customHeight="1">
      <c r="C2" s="697" t="s">
        <v>619</v>
      </c>
      <c r="D2" s="697"/>
      <c r="E2" s="697"/>
      <c r="F2" s="697"/>
      <c r="G2" s="697"/>
      <c r="H2" s="697"/>
      <c r="I2" s="697"/>
    </row>
    <row r="3" spans="2:19" ht="16.5" customHeight="1">
      <c r="C3" s="411"/>
      <c r="D3" s="411"/>
      <c r="E3" s="411"/>
      <c r="F3" s="412"/>
      <c r="G3" s="412"/>
      <c r="H3" s="411"/>
      <c r="I3" s="411"/>
    </row>
    <row r="4" spans="2:19" ht="16.5" customHeight="1" thickBot="1">
      <c r="C4" s="411"/>
      <c r="D4" s="411"/>
      <c r="E4" s="411"/>
      <c r="F4" s="412"/>
      <c r="G4" s="412"/>
      <c r="H4" s="411"/>
      <c r="I4" s="411"/>
    </row>
    <row r="5" spans="2:19" ht="16.5" customHeight="1" thickBot="1">
      <c r="B5" s="687"/>
      <c r="C5" s="678" t="s">
        <v>620</v>
      </c>
      <c r="D5" s="679"/>
      <c r="E5" s="679"/>
      <c r="F5" s="679"/>
      <c r="G5" s="679"/>
      <c r="H5" s="679"/>
      <c r="I5" s="680"/>
      <c r="K5" s="413" t="s">
        <v>533</v>
      </c>
      <c r="L5" s="271" t="s">
        <v>16</v>
      </c>
      <c r="M5" s="272" t="s">
        <v>59</v>
      </c>
      <c r="N5" s="210" t="s">
        <v>9</v>
      </c>
      <c r="O5" s="210"/>
    </row>
    <row r="6" spans="2:19" ht="16.5" customHeight="1">
      <c r="B6" s="688"/>
      <c r="C6" s="689" t="s">
        <v>623</v>
      </c>
      <c r="D6" s="274" t="s">
        <v>16</v>
      </c>
      <c r="E6" s="256" t="s">
        <v>47</v>
      </c>
      <c r="F6" s="691" t="s">
        <v>10</v>
      </c>
      <c r="G6" s="692"/>
      <c r="H6" s="256" t="s">
        <v>9</v>
      </c>
      <c r="I6" s="276" t="s">
        <v>42</v>
      </c>
      <c r="K6" s="265">
        <v>5858</v>
      </c>
      <c r="L6" s="277" t="s">
        <v>624</v>
      </c>
      <c r="M6" s="267" t="s">
        <v>44</v>
      </c>
      <c r="N6" s="210">
        <f>SUMIF($D$6:$D$42,טבלה115179[[#This Row],[מוצר]],$H$6:$H$42)</f>
        <v>0</v>
      </c>
      <c r="O6" s="210"/>
    </row>
    <row r="7" spans="2:19" ht="16.5" customHeight="1" thickBot="1">
      <c r="B7" s="688"/>
      <c r="C7" s="690"/>
      <c r="D7" s="309" t="s">
        <v>624</v>
      </c>
      <c r="E7" s="258" t="s">
        <v>44</v>
      </c>
      <c r="F7" s="258" t="s">
        <v>718</v>
      </c>
      <c r="G7" s="258">
        <f>1/30</f>
        <v>3.3333333333333333E-2</v>
      </c>
      <c r="H7" s="258">
        <f>ROUNDUP(G7*$C$11,0)</f>
        <v>0</v>
      </c>
      <c r="I7" s="279"/>
      <c r="K7" s="265">
        <v>496</v>
      </c>
      <c r="L7" s="277" t="s">
        <v>379</v>
      </c>
      <c r="M7" s="267" t="s">
        <v>6</v>
      </c>
      <c r="N7" s="210">
        <f>SUMIF($D$6:$D$42,טבלה115179[[#This Row],[מוצר]],$H$6:$H$42)</f>
        <v>0</v>
      </c>
      <c r="O7" s="210"/>
    </row>
    <row r="8" spans="2:19" ht="16.5" customHeight="1">
      <c r="B8" s="688"/>
      <c r="C8" s="693"/>
      <c r="D8" s="309" t="s">
        <v>379</v>
      </c>
      <c r="E8" s="258" t="s">
        <v>6</v>
      </c>
      <c r="F8" s="258" t="s">
        <v>626</v>
      </c>
      <c r="G8" s="258">
        <f>1</f>
        <v>1</v>
      </c>
      <c r="H8" s="258">
        <f>G8*$C$8</f>
        <v>0</v>
      </c>
      <c r="I8" s="279"/>
      <c r="K8" s="265">
        <v>5479</v>
      </c>
      <c r="L8" s="277" t="s">
        <v>14</v>
      </c>
      <c r="M8" s="267" t="s">
        <v>46</v>
      </c>
      <c r="N8" s="210">
        <f>CEILING(SUMIF($D$6:$D$42,טבלה115179[[#This Row],[מוצר]],$H$6:$H$42),100)/100</f>
        <v>0</v>
      </c>
      <c r="O8" s="210"/>
    </row>
    <row r="9" spans="2:19" ht="16.5" customHeight="1" thickBot="1">
      <c r="B9" s="688"/>
      <c r="C9" s="694"/>
      <c r="D9" s="309" t="s">
        <v>14</v>
      </c>
      <c r="E9" s="258" t="s">
        <v>46</v>
      </c>
      <c r="F9" s="258" t="s">
        <v>627</v>
      </c>
      <c r="G9" s="258">
        <v>20</v>
      </c>
      <c r="H9" s="258">
        <f>G9*$C$8</f>
        <v>0</v>
      </c>
      <c r="I9" s="279"/>
      <c r="K9" s="265">
        <v>6463</v>
      </c>
      <c r="L9" s="277" t="s">
        <v>13</v>
      </c>
      <c r="M9" s="267" t="s">
        <v>8</v>
      </c>
      <c r="N9" s="210">
        <f>SUMIF($D$6:$D$42,טבלה115179[[#This Row],[מוצר]],$H$6:$H$42)</f>
        <v>0</v>
      </c>
      <c r="O9" s="210"/>
    </row>
    <row r="10" spans="2:19" ht="16.5" customHeight="1" thickBot="1">
      <c r="B10" s="688"/>
      <c r="C10" s="414" t="s">
        <v>36</v>
      </c>
      <c r="D10" s="309" t="s">
        <v>13</v>
      </c>
      <c r="E10" s="258" t="s">
        <v>8</v>
      </c>
      <c r="F10" s="258" t="s">
        <v>628</v>
      </c>
      <c r="G10" s="258">
        <v>2</v>
      </c>
      <c r="H10" s="258">
        <f>G10*$C$8</f>
        <v>0</v>
      </c>
      <c r="I10" s="279"/>
      <c r="M10" s="265"/>
      <c r="N10" s="415"/>
      <c r="O10" s="210"/>
    </row>
    <row r="11" spans="2:19" ht="16.5" customHeight="1">
      <c r="B11" s="688"/>
      <c r="C11" s="695"/>
      <c r="D11" s="309" t="s">
        <v>31</v>
      </c>
      <c r="E11" s="258" t="s">
        <v>6</v>
      </c>
      <c r="F11" s="258" t="s">
        <v>629</v>
      </c>
      <c r="G11" s="258">
        <v>1</v>
      </c>
      <c r="H11" s="258">
        <f>G11*C11</f>
        <v>0</v>
      </c>
      <c r="I11" s="279"/>
      <c r="K11" s="265" t="s">
        <v>533</v>
      </c>
      <c r="L11" s="271" t="s">
        <v>16</v>
      </c>
      <c r="M11" s="272" t="s">
        <v>59</v>
      </c>
      <c r="N11" s="210" t="s">
        <v>9</v>
      </c>
      <c r="O11" s="416"/>
      <c r="P11" s="292"/>
      <c r="Q11" s="280"/>
      <c r="R11" s="280"/>
      <c r="S11" s="280"/>
    </row>
    <row r="12" spans="2:19" ht="16.5" customHeight="1" thickBot="1">
      <c r="B12" s="688"/>
      <c r="C12" s="696"/>
      <c r="D12" s="417" t="s">
        <v>34</v>
      </c>
      <c r="E12" s="259" t="s">
        <v>6</v>
      </c>
      <c r="F12" s="259" t="s">
        <v>628</v>
      </c>
      <c r="G12" s="259">
        <v>4</v>
      </c>
      <c r="H12" s="259">
        <f>G12*C8</f>
        <v>0</v>
      </c>
      <c r="I12" s="284"/>
      <c r="K12" s="360" t="s">
        <v>573</v>
      </c>
      <c r="L12" s="277" t="s">
        <v>31</v>
      </c>
      <c r="M12" s="420" t="s">
        <v>602</v>
      </c>
      <c r="N12" s="362">
        <f>SUMIF($D$6:$D$42,טבלה321[[#This Row],[מוצר]],$H$6:$H$42)</f>
        <v>0</v>
      </c>
      <c r="O12" s="210"/>
    </row>
    <row r="13" spans="2:19" ht="16.5" customHeight="1">
      <c r="B13" s="493"/>
      <c r="C13" s="418"/>
      <c r="D13" s="277"/>
      <c r="E13" s="267"/>
      <c r="F13" s="267"/>
      <c r="G13" s="419"/>
      <c r="H13" s="267"/>
      <c r="I13" s="267"/>
      <c r="K13" s="265" t="s">
        <v>577</v>
      </c>
      <c r="L13" s="277" t="s">
        <v>34</v>
      </c>
      <c r="M13" s="242" t="s">
        <v>602</v>
      </c>
      <c r="N13" s="415">
        <f>SUMIF($D$6:$D$42,טבלה321[[#This Row],[מוצר]],$H$6:$H$42)</f>
        <v>0</v>
      </c>
      <c r="O13" s="210"/>
    </row>
    <row r="14" spans="2:19" ht="16.5" customHeight="1" thickBot="1">
      <c r="B14" s="493"/>
      <c r="C14" s="418"/>
      <c r="D14" s="277"/>
      <c r="E14" s="267"/>
      <c r="F14" s="267"/>
      <c r="G14" s="419"/>
      <c r="H14" s="267"/>
      <c r="I14" s="267"/>
      <c r="O14" s="210"/>
    </row>
    <row r="15" spans="2:19" ht="16.5" customHeight="1" thickBot="1">
      <c r="B15" s="687"/>
      <c r="C15" s="678" t="s">
        <v>620</v>
      </c>
      <c r="D15" s="679"/>
      <c r="E15" s="679"/>
      <c r="F15" s="679"/>
      <c r="G15" s="679"/>
      <c r="H15" s="679"/>
      <c r="I15" s="680"/>
      <c r="N15" s="267"/>
      <c r="O15" s="210"/>
    </row>
    <row r="16" spans="2:19" ht="16.5" customHeight="1">
      <c r="B16" s="688"/>
      <c r="C16" s="689" t="s">
        <v>623</v>
      </c>
      <c r="D16" s="274" t="s">
        <v>16</v>
      </c>
      <c r="E16" s="256" t="s">
        <v>47</v>
      </c>
      <c r="F16" s="691" t="s">
        <v>10</v>
      </c>
      <c r="G16" s="692"/>
      <c r="H16" s="256" t="s">
        <v>9</v>
      </c>
      <c r="I16" s="276" t="s">
        <v>42</v>
      </c>
      <c r="N16" s="421"/>
    </row>
    <row r="17" spans="2:16" ht="16.5" customHeight="1" thickBot="1">
      <c r="B17" s="688"/>
      <c r="C17" s="690"/>
      <c r="D17" s="309" t="s">
        <v>624</v>
      </c>
      <c r="E17" s="258" t="s">
        <v>44</v>
      </c>
      <c r="F17" s="258" t="s">
        <v>625</v>
      </c>
      <c r="G17" s="258">
        <f>1/25</f>
        <v>0.04</v>
      </c>
      <c r="H17" s="258">
        <f>ROUNDUP(G17*$C$21,0)</f>
        <v>0</v>
      </c>
      <c r="I17" s="279"/>
      <c r="N17" s="421"/>
    </row>
    <row r="18" spans="2:16" ht="16.5" customHeight="1">
      <c r="B18" s="688"/>
      <c r="C18" s="693"/>
      <c r="D18" s="309" t="s">
        <v>379</v>
      </c>
      <c r="E18" s="258" t="s">
        <v>6</v>
      </c>
      <c r="F18" s="258" t="s">
        <v>626</v>
      </c>
      <c r="G18" s="258">
        <f>1</f>
        <v>1</v>
      </c>
      <c r="H18" s="258">
        <f>G18*$C$18</f>
        <v>0</v>
      </c>
      <c r="I18" s="279"/>
      <c r="O18" s="422"/>
      <c r="P18" s="423"/>
    </row>
    <row r="19" spans="2:16" ht="16.5" customHeight="1" thickBot="1">
      <c r="B19" s="688"/>
      <c r="C19" s="694"/>
      <c r="D19" s="309" t="s">
        <v>14</v>
      </c>
      <c r="E19" s="258" t="s">
        <v>46</v>
      </c>
      <c r="F19" s="258" t="s">
        <v>627</v>
      </c>
      <c r="G19" s="258">
        <v>20</v>
      </c>
      <c r="H19" s="258">
        <f>G19*$C$18</f>
        <v>0</v>
      </c>
      <c r="I19" s="279"/>
      <c r="O19" s="422"/>
      <c r="P19" s="423"/>
    </row>
    <row r="20" spans="2:16" ht="16.5" customHeight="1" thickBot="1">
      <c r="B20" s="688"/>
      <c r="C20" s="414" t="s">
        <v>36</v>
      </c>
      <c r="D20" s="309" t="s">
        <v>13</v>
      </c>
      <c r="E20" s="258" t="s">
        <v>8</v>
      </c>
      <c r="F20" s="258" t="s">
        <v>628</v>
      </c>
      <c r="G20" s="258">
        <v>2</v>
      </c>
      <c r="H20" s="258">
        <f>G20*$C$18</f>
        <v>0</v>
      </c>
      <c r="I20" s="279"/>
    </row>
    <row r="21" spans="2:16" ht="16.5" customHeight="1">
      <c r="B21" s="688"/>
      <c r="C21" s="695"/>
      <c r="D21" s="309" t="s">
        <v>31</v>
      </c>
      <c r="E21" s="258" t="s">
        <v>6</v>
      </c>
      <c r="F21" s="258" t="s">
        <v>629</v>
      </c>
      <c r="G21" s="258">
        <v>1</v>
      </c>
      <c r="H21" s="258">
        <f>G21*C21</f>
        <v>0</v>
      </c>
      <c r="I21" s="279"/>
    </row>
    <row r="22" spans="2:16" ht="16.5" customHeight="1" thickBot="1">
      <c r="B22" s="688"/>
      <c r="C22" s="696"/>
      <c r="D22" s="417" t="s">
        <v>34</v>
      </c>
      <c r="E22" s="259" t="s">
        <v>6</v>
      </c>
      <c r="F22" s="259" t="s">
        <v>628</v>
      </c>
      <c r="G22" s="259">
        <v>4</v>
      </c>
      <c r="H22" s="259">
        <f>G22*C18</f>
        <v>0</v>
      </c>
      <c r="I22" s="284"/>
    </row>
    <row r="24" spans="2:16" ht="16.5" customHeight="1" thickBot="1"/>
    <row r="25" spans="2:16" ht="16.5" customHeight="1" thickBot="1">
      <c r="B25" s="687"/>
      <c r="C25" s="678" t="s">
        <v>620</v>
      </c>
      <c r="D25" s="679"/>
      <c r="E25" s="679"/>
      <c r="F25" s="679"/>
      <c r="G25" s="679"/>
      <c r="H25" s="679"/>
      <c r="I25" s="680"/>
    </row>
    <row r="26" spans="2:16" ht="16.5" customHeight="1">
      <c r="B26" s="688"/>
      <c r="C26" s="689" t="s">
        <v>623</v>
      </c>
      <c r="D26" s="274" t="s">
        <v>16</v>
      </c>
      <c r="E26" s="256" t="s">
        <v>47</v>
      </c>
      <c r="F26" s="691" t="s">
        <v>10</v>
      </c>
      <c r="G26" s="692"/>
      <c r="H26" s="256" t="s">
        <v>9</v>
      </c>
      <c r="I26" s="276" t="s">
        <v>42</v>
      </c>
    </row>
    <row r="27" spans="2:16" ht="16.5" customHeight="1" thickBot="1">
      <c r="B27" s="688"/>
      <c r="C27" s="690"/>
      <c r="D27" s="309" t="s">
        <v>624</v>
      </c>
      <c r="E27" s="258" t="s">
        <v>44</v>
      </c>
      <c r="F27" s="258" t="s">
        <v>625</v>
      </c>
      <c r="G27" s="258">
        <f>1/25</f>
        <v>0.04</v>
      </c>
      <c r="H27" s="258">
        <f>ROUNDUP(G27*$C$21,0)</f>
        <v>0</v>
      </c>
      <c r="I27" s="279"/>
    </row>
    <row r="28" spans="2:16" ht="16.5" customHeight="1">
      <c r="B28" s="688"/>
      <c r="C28" s="693"/>
      <c r="D28" s="309" t="s">
        <v>379</v>
      </c>
      <c r="E28" s="258" t="s">
        <v>6</v>
      </c>
      <c r="F28" s="258" t="s">
        <v>626</v>
      </c>
      <c r="G28" s="258">
        <f>1</f>
        <v>1</v>
      </c>
      <c r="H28" s="258">
        <f>G28*$C$18</f>
        <v>0</v>
      </c>
      <c r="I28" s="279"/>
    </row>
    <row r="29" spans="2:16" ht="16.5" customHeight="1" thickBot="1">
      <c r="B29" s="688"/>
      <c r="C29" s="694"/>
      <c r="D29" s="309" t="s">
        <v>14</v>
      </c>
      <c r="E29" s="258" t="s">
        <v>46</v>
      </c>
      <c r="F29" s="258" t="s">
        <v>627</v>
      </c>
      <c r="G29" s="258">
        <v>20</v>
      </c>
      <c r="H29" s="258">
        <f>G29*$C$18</f>
        <v>0</v>
      </c>
      <c r="I29" s="279"/>
    </row>
    <row r="30" spans="2:16" ht="16.5" customHeight="1" thickBot="1">
      <c r="B30" s="688"/>
      <c r="C30" s="414" t="s">
        <v>36</v>
      </c>
      <c r="D30" s="309" t="s">
        <v>13</v>
      </c>
      <c r="E30" s="258" t="s">
        <v>8</v>
      </c>
      <c r="F30" s="258" t="s">
        <v>628</v>
      </c>
      <c r="G30" s="258">
        <v>2</v>
      </c>
      <c r="H30" s="258">
        <f>G30*$C$18</f>
        <v>0</v>
      </c>
      <c r="I30" s="279"/>
    </row>
    <row r="31" spans="2:16" ht="16.5" customHeight="1">
      <c r="B31" s="688"/>
      <c r="C31" s="695"/>
      <c r="D31" s="309" t="s">
        <v>31</v>
      </c>
      <c r="E31" s="258" t="s">
        <v>6</v>
      </c>
      <c r="F31" s="258" t="s">
        <v>629</v>
      </c>
      <c r="G31" s="258">
        <v>1</v>
      </c>
      <c r="H31" s="258">
        <f>G31*C31</f>
        <v>0</v>
      </c>
      <c r="I31" s="279"/>
    </row>
    <row r="32" spans="2:16" ht="16.5" customHeight="1" thickBot="1">
      <c r="B32" s="688"/>
      <c r="C32" s="696"/>
      <c r="D32" s="417" t="s">
        <v>34</v>
      </c>
      <c r="E32" s="259" t="s">
        <v>6</v>
      </c>
      <c r="F32" s="259" t="s">
        <v>628</v>
      </c>
      <c r="G32" s="259">
        <v>4</v>
      </c>
      <c r="H32" s="259">
        <f>G32*C28</f>
        <v>0</v>
      </c>
      <c r="I32" s="284"/>
    </row>
    <row r="34" spans="2:9" ht="16.5" customHeight="1" thickBot="1"/>
    <row r="35" spans="2:9" ht="16.5" customHeight="1" thickBot="1">
      <c r="B35" s="687"/>
      <c r="C35" s="678" t="s">
        <v>620</v>
      </c>
      <c r="D35" s="679"/>
      <c r="E35" s="679"/>
      <c r="F35" s="679"/>
      <c r="G35" s="679"/>
      <c r="H35" s="679"/>
      <c r="I35" s="680"/>
    </row>
    <row r="36" spans="2:9" ht="16.5" customHeight="1">
      <c r="B36" s="688"/>
      <c r="C36" s="689" t="s">
        <v>623</v>
      </c>
      <c r="D36" s="274" t="s">
        <v>16</v>
      </c>
      <c r="E36" s="256" t="s">
        <v>47</v>
      </c>
      <c r="F36" s="691" t="s">
        <v>10</v>
      </c>
      <c r="G36" s="692"/>
      <c r="H36" s="256" t="s">
        <v>9</v>
      </c>
      <c r="I36" s="276" t="s">
        <v>42</v>
      </c>
    </row>
    <row r="37" spans="2:9" ht="16.5" customHeight="1" thickBot="1">
      <c r="B37" s="688"/>
      <c r="C37" s="690"/>
      <c r="D37" s="309" t="s">
        <v>624</v>
      </c>
      <c r="E37" s="258" t="s">
        <v>44</v>
      </c>
      <c r="F37" s="258" t="s">
        <v>625</v>
      </c>
      <c r="G37" s="258">
        <f>1/25</f>
        <v>0.04</v>
      </c>
      <c r="H37" s="258">
        <f>ROUNDUP(G37*$C$21,0)</f>
        <v>0</v>
      </c>
      <c r="I37" s="279"/>
    </row>
    <row r="38" spans="2:9" ht="16.5" customHeight="1">
      <c r="B38" s="688"/>
      <c r="C38" s="693"/>
      <c r="D38" s="309" t="s">
        <v>379</v>
      </c>
      <c r="E38" s="258" t="s">
        <v>6</v>
      </c>
      <c r="F38" s="258" t="s">
        <v>626</v>
      </c>
      <c r="G38" s="258">
        <f>1</f>
        <v>1</v>
      </c>
      <c r="H38" s="258">
        <f>G38*$C$18</f>
        <v>0</v>
      </c>
      <c r="I38" s="279"/>
    </row>
    <row r="39" spans="2:9" ht="16.5" customHeight="1" thickBot="1">
      <c r="B39" s="688"/>
      <c r="C39" s="694"/>
      <c r="D39" s="309" t="s">
        <v>14</v>
      </c>
      <c r="E39" s="258" t="s">
        <v>46</v>
      </c>
      <c r="F39" s="258" t="s">
        <v>627</v>
      </c>
      <c r="G39" s="258">
        <v>20</v>
      </c>
      <c r="H39" s="258">
        <f>G39*$C$18</f>
        <v>0</v>
      </c>
      <c r="I39" s="279"/>
    </row>
    <row r="40" spans="2:9" ht="16.5" customHeight="1" thickBot="1">
      <c r="B40" s="688"/>
      <c r="C40" s="414" t="s">
        <v>36</v>
      </c>
      <c r="D40" s="309" t="s">
        <v>13</v>
      </c>
      <c r="E40" s="258" t="s">
        <v>8</v>
      </c>
      <c r="F40" s="258" t="s">
        <v>628</v>
      </c>
      <c r="G40" s="258">
        <v>2</v>
      </c>
      <c r="H40" s="258">
        <f>G40*$C$18</f>
        <v>0</v>
      </c>
      <c r="I40" s="279"/>
    </row>
    <row r="41" spans="2:9" ht="16.5" customHeight="1">
      <c r="B41" s="688"/>
      <c r="C41" s="695"/>
      <c r="D41" s="309" t="s">
        <v>31</v>
      </c>
      <c r="E41" s="258" t="s">
        <v>6</v>
      </c>
      <c r="F41" s="258" t="s">
        <v>629</v>
      </c>
      <c r="G41" s="258">
        <v>1</v>
      </c>
      <c r="H41" s="258">
        <f>G41*C41</f>
        <v>0</v>
      </c>
      <c r="I41" s="279"/>
    </row>
    <row r="42" spans="2:9" ht="16.5" customHeight="1" thickBot="1">
      <c r="B42" s="688"/>
      <c r="C42" s="696"/>
      <c r="D42" s="417" t="s">
        <v>34</v>
      </c>
      <c r="E42" s="259" t="s">
        <v>6</v>
      </c>
      <c r="F42" s="259" t="s">
        <v>628</v>
      </c>
      <c r="G42" s="259">
        <v>4</v>
      </c>
      <c r="H42" s="259">
        <f>G42*C38</f>
        <v>0</v>
      </c>
      <c r="I42" s="284"/>
    </row>
  </sheetData>
  <mergeCells count="25">
    <mergeCell ref="B35:B42"/>
    <mergeCell ref="C35:I35"/>
    <mergeCell ref="C36:C37"/>
    <mergeCell ref="F36:G36"/>
    <mergeCell ref="C38:C39"/>
    <mergeCell ref="C41:C42"/>
    <mergeCell ref="C2:I2"/>
    <mergeCell ref="B5:B12"/>
    <mergeCell ref="C5:I5"/>
    <mergeCell ref="C6:C7"/>
    <mergeCell ref="F6:G6"/>
    <mergeCell ref="C8:C9"/>
    <mergeCell ref="C11:C12"/>
    <mergeCell ref="B15:B22"/>
    <mergeCell ref="C15:I15"/>
    <mergeCell ref="C16:C17"/>
    <mergeCell ref="F16:G16"/>
    <mergeCell ref="C18:C19"/>
    <mergeCell ref="C21:C22"/>
    <mergeCell ref="B25:B32"/>
    <mergeCell ref="C25:I25"/>
    <mergeCell ref="C26:C27"/>
    <mergeCell ref="F26:G26"/>
    <mergeCell ref="C28:C29"/>
    <mergeCell ref="C31:C32"/>
  </mergeCells>
  <pageMargins left="0.7" right="0.7" top="0.75" bottom="0.75" header="0.3" footer="0.3"/>
  <pageSetup scale="51" fitToHeight="0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O149"/>
  <sheetViews>
    <sheetView rightToLeft="1" topLeftCell="B1" zoomScaleNormal="100" workbookViewId="0">
      <selection activeCell="C23" sqref="C23"/>
    </sheetView>
  </sheetViews>
  <sheetFormatPr defaultColWidth="9.09765625" defaultRowHeight="16.5" customHeight="1"/>
  <cols>
    <col min="1" max="1" width="7" style="160" customWidth="1"/>
    <col min="2" max="2" width="14.3984375" style="160" bestFit="1" customWidth="1"/>
    <col min="3" max="3" width="18.3984375" style="160" customWidth="1"/>
    <col min="4" max="4" width="20.59765625" style="160" bestFit="1" customWidth="1"/>
    <col min="5" max="5" width="11.09765625" style="216" customWidth="1"/>
    <col min="6" max="6" width="7.19921875" style="165" customWidth="1"/>
    <col min="7" max="7" width="8.3984375" style="160" bestFit="1" customWidth="1"/>
    <col min="8" max="8" width="16.3984375" style="160" customWidth="1"/>
    <col min="9" max="9" width="9.09765625" style="160"/>
    <col min="10" max="10" width="16.69921875" style="160" hidden="1" customWidth="1"/>
    <col min="11" max="11" width="6.8984375" style="169" customWidth="1"/>
    <col min="12" max="12" width="17.3984375" style="160" customWidth="1"/>
    <col min="13" max="13" width="13.09765625" style="216" bestFit="1" customWidth="1"/>
    <col min="14" max="14" width="20" style="165" customWidth="1"/>
    <col min="15" max="15" width="9.09765625" style="290"/>
    <col min="16" max="16" width="13.3984375" style="160" bestFit="1" customWidth="1"/>
    <col min="17" max="17" width="13.8984375" style="160" customWidth="1"/>
    <col min="18" max="18" width="9.09765625" style="160"/>
    <col min="19" max="19" width="11.69921875" style="160" customWidth="1"/>
    <col min="20" max="16384" width="9.09765625" style="160"/>
  </cols>
  <sheetData>
    <row r="1" spans="2:15" ht="16.5" customHeight="1" thickBot="1"/>
    <row r="2" spans="2:15" ht="16.5" customHeight="1">
      <c r="B2" s="722"/>
      <c r="C2" s="710" t="s">
        <v>536</v>
      </c>
      <c r="D2" s="711"/>
      <c r="E2" s="711"/>
      <c r="F2" s="711"/>
      <c r="G2" s="711"/>
      <c r="H2" s="712"/>
    </row>
    <row r="3" spans="2:15" ht="16.5" customHeight="1" thickBot="1">
      <c r="B3" s="723"/>
      <c r="C3" s="713"/>
      <c r="D3" s="714"/>
      <c r="E3" s="714"/>
      <c r="F3" s="714"/>
      <c r="G3" s="714"/>
      <c r="H3" s="715"/>
      <c r="K3" s="223" t="s">
        <v>533</v>
      </c>
      <c r="L3" s="229" t="s">
        <v>16</v>
      </c>
      <c r="M3" s="233" t="s">
        <v>59</v>
      </c>
      <c r="N3" s="230" t="s">
        <v>9</v>
      </c>
      <c r="O3" s="160"/>
    </row>
    <row r="4" spans="2:15" ht="16.5" customHeight="1">
      <c r="B4" s="723"/>
      <c r="C4" s="704" t="s">
        <v>526</v>
      </c>
      <c r="D4" s="718" t="s">
        <v>16</v>
      </c>
      <c r="E4" s="720" t="s">
        <v>47</v>
      </c>
      <c r="F4" s="702" t="s">
        <v>10</v>
      </c>
      <c r="G4" s="702" t="s">
        <v>9</v>
      </c>
      <c r="H4" s="716" t="s">
        <v>42</v>
      </c>
      <c r="K4" s="223">
        <v>8504</v>
      </c>
      <c r="L4" s="219" t="s">
        <v>56</v>
      </c>
      <c r="M4" s="234" t="s">
        <v>6</v>
      </c>
      <c r="N4" s="220">
        <f>CEILING(SUMIF($D$4:$D$98,טבלה115[[#This Row],[מוצר]],$G$4:$G$98),10)/10</f>
        <v>0</v>
      </c>
      <c r="O4" s="160"/>
    </row>
    <row r="5" spans="2:15" ht="16.5" customHeight="1" thickBot="1">
      <c r="B5" s="723"/>
      <c r="C5" s="705"/>
      <c r="D5" s="719"/>
      <c r="E5" s="721"/>
      <c r="F5" s="703"/>
      <c r="G5" s="703"/>
      <c r="H5" s="717"/>
      <c r="K5" s="223">
        <v>7915</v>
      </c>
      <c r="L5" s="219" t="s">
        <v>79</v>
      </c>
      <c r="M5" s="234" t="s">
        <v>6</v>
      </c>
      <c r="N5" s="220">
        <f>CEILING(SUMIF($D$4:$D$98,טבלה115[[#This Row],[מוצר]],$G$4:$G$98),8)/8</f>
        <v>0</v>
      </c>
      <c r="O5" s="160"/>
    </row>
    <row r="6" spans="2:15" ht="14.25" customHeight="1">
      <c r="B6" s="723"/>
      <c r="C6" s="706" t="s">
        <v>122</v>
      </c>
      <c r="D6" s="392" t="s">
        <v>56</v>
      </c>
      <c r="E6" s="244" t="s">
        <v>6</v>
      </c>
      <c r="F6" s="393">
        <f>1/1.5</f>
        <v>0.66666666666666663</v>
      </c>
      <c r="G6" s="394">
        <f>CEILING(C11/F6,10)*C21</f>
        <v>0</v>
      </c>
      <c r="H6" s="395"/>
      <c r="K6" s="223">
        <v>704</v>
      </c>
      <c r="L6" s="160" t="s">
        <v>80</v>
      </c>
      <c r="M6" s="234" t="s">
        <v>549</v>
      </c>
      <c r="N6" s="247">
        <f>SUMIF($D$4:$D$98,טבלה115[[#This Row],[מוצר]],$G$4:$G$98)</f>
        <v>0</v>
      </c>
      <c r="O6" s="160"/>
    </row>
    <row r="7" spans="2:15" ht="17.25" customHeight="1" thickBot="1">
      <c r="B7" s="723"/>
      <c r="C7" s="707"/>
      <c r="D7" s="213" t="s">
        <v>79</v>
      </c>
      <c r="E7" s="238" t="str">
        <f>IF(D7=J108,"יח'","חב' של 3")</f>
        <v>יח'</v>
      </c>
      <c r="F7" s="161" t="str">
        <f>IF(D7=J108,"2","3")</f>
        <v>2</v>
      </c>
      <c r="G7" s="161">
        <f>IF(D7=$J$108,ROUNDUP(C18*F7,0),ROUNDUP(C18/F7,0))*C21</f>
        <v>0</v>
      </c>
      <c r="H7" s="162"/>
      <c r="K7" s="223">
        <v>607</v>
      </c>
      <c r="L7" s="219" t="s">
        <v>68</v>
      </c>
      <c r="M7" s="234" t="s">
        <v>8</v>
      </c>
      <c r="N7" s="220">
        <f>SUMIF($D$4:$D$98,טבלה115[[#This Row],[מוצר]],$G$4:$G$98)</f>
        <v>0</v>
      </c>
      <c r="O7" s="160"/>
    </row>
    <row r="8" spans="2:15" ht="16.5" customHeight="1">
      <c r="B8" s="723"/>
      <c r="C8" s="708" t="s">
        <v>540</v>
      </c>
      <c r="D8" s="212" t="s">
        <v>68</v>
      </c>
      <c r="E8" s="238" t="s">
        <v>8</v>
      </c>
      <c r="F8" s="161">
        <f>6/200</f>
        <v>0.03</v>
      </c>
      <c r="G8" s="161">
        <f>ROUNDUP(C11*F8,0)*C21</f>
        <v>0</v>
      </c>
      <c r="H8" s="162"/>
      <c r="K8" s="223">
        <v>3</v>
      </c>
      <c r="L8" s="219" t="s">
        <v>2</v>
      </c>
      <c r="M8" s="234" t="s">
        <v>8</v>
      </c>
      <c r="N8" s="220">
        <f>SUMIF($D$4:$D$98,טבלה115[[#This Row],[מוצר]],$G$4:$G$98)</f>
        <v>0</v>
      </c>
      <c r="O8" s="160"/>
    </row>
    <row r="9" spans="2:15" ht="16.5" customHeight="1" thickBot="1">
      <c r="B9" s="723"/>
      <c r="C9" s="707"/>
      <c r="D9" s="212" t="s">
        <v>2</v>
      </c>
      <c r="E9" s="238" t="s">
        <v>8</v>
      </c>
      <c r="F9" s="161">
        <v>0.02</v>
      </c>
      <c r="G9" s="161">
        <f>ROUNDUP(C11*F9,0)*C21</f>
        <v>0</v>
      </c>
      <c r="H9" s="162"/>
      <c r="K9" s="223">
        <v>675</v>
      </c>
      <c r="L9" s="219" t="s">
        <v>69</v>
      </c>
      <c r="M9" s="234" t="s">
        <v>8</v>
      </c>
      <c r="N9" s="220">
        <f>SUMIF($D$4:$D$98,טבלה115[[#This Row],[מוצר]],$G$4:$G$98)</f>
        <v>0</v>
      </c>
      <c r="O9" s="160"/>
    </row>
    <row r="10" spans="2:15" ht="16.5" customHeight="1" thickBot="1">
      <c r="B10" s="723"/>
      <c r="C10" s="189" t="s">
        <v>36</v>
      </c>
      <c r="D10" s="396" t="s">
        <v>92</v>
      </c>
      <c r="E10" s="238" t="s">
        <v>8</v>
      </c>
      <c r="F10" s="161"/>
      <c r="G10" s="161"/>
      <c r="H10" s="162"/>
      <c r="K10" s="223">
        <v>2648</v>
      </c>
      <c r="L10" s="219" t="s">
        <v>45</v>
      </c>
      <c r="M10" s="234" t="s">
        <v>44</v>
      </c>
      <c r="N10" s="220">
        <f>SUMIF($D$4:$D$98,טבלה115[[#This Row],[מוצר]],$G$4:$G$98)</f>
        <v>0</v>
      </c>
      <c r="O10" s="160"/>
    </row>
    <row r="11" spans="2:15" ht="16.5" customHeight="1">
      <c r="B11" s="723"/>
      <c r="C11" s="700"/>
      <c r="D11" s="212" t="s">
        <v>45</v>
      </c>
      <c r="E11" s="238" t="s">
        <v>49</v>
      </c>
      <c r="F11" s="161">
        <v>24</v>
      </c>
      <c r="G11" s="161">
        <f>ROUNDUP(C11/F11,0)*C21</f>
        <v>0</v>
      </c>
      <c r="H11" s="163"/>
      <c r="K11" s="223">
        <v>46</v>
      </c>
      <c r="L11" s="219" t="s">
        <v>12</v>
      </c>
      <c r="M11" s="234" t="s">
        <v>49</v>
      </c>
      <c r="N11" s="220">
        <f>SUMIF($D$4:$D$98,טבלה115[[#This Row],[מוצר]],$G$4:$G$98)</f>
        <v>0</v>
      </c>
      <c r="O11" s="160"/>
    </row>
    <row r="12" spans="2:15" ht="16.5" customHeight="1" thickBot="1">
      <c r="B12" s="723"/>
      <c r="C12" s="701"/>
      <c r="D12" s="212" t="s">
        <v>12</v>
      </c>
      <c r="E12" s="238" t="s">
        <v>49</v>
      </c>
      <c r="F12" s="161">
        <v>12</v>
      </c>
      <c r="G12" s="161">
        <f>ROUNDUP(C11/F12,0)*C21</f>
        <v>0</v>
      </c>
      <c r="H12" s="163"/>
      <c r="K12" s="223">
        <v>8127</v>
      </c>
      <c r="L12" s="219" t="s">
        <v>78</v>
      </c>
      <c r="M12" s="234" t="s">
        <v>6</v>
      </c>
      <c r="N12" s="220">
        <f>SUMIF($D$4:$D$98,טבלה115[[#This Row],[מוצר]],$G$4:$G$98)</f>
        <v>0</v>
      </c>
      <c r="O12" s="160"/>
    </row>
    <row r="13" spans="2:15" ht="16.5" customHeight="1" thickBot="1">
      <c r="B13" s="723"/>
      <c r="C13" s="211" t="s">
        <v>76</v>
      </c>
      <c r="D13" s="212" t="s">
        <v>78</v>
      </c>
      <c r="E13" s="238" t="s">
        <v>6</v>
      </c>
      <c r="F13" s="218">
        <v>1</v>
      </c>
      <c r="G13" s="161">
        <f>ROUNDUP(C14*F13,0)*C21</f>
        <v>0</v>
      </c>
      <c r="H13" s="163"/>
      <c r="K13" s="223">
        <v>9107</v>
      </c>
      <c r="L13" s="219" t="s">
        <v>70</v>
      </c>
      <c r="M13" s="234" t="s">
        <v>558</v>
      </c>
      <c r="N13" s="247">
        <f>CEILING(SUMIF($D$4:$D$98,טבלה115[[#This Row],[מוצר]],$G$4:$G$98),25)/25</f>
        <v>0</v>
      </c>
      <c r="O13" s="160"/>
    </row>
    <row r="14" spans="2:15" ht="16.5" customHeight="1">
      <c r="B14" s="723"/>
      <c r="C14" s="700"/>
      <c r="D14" s="213" t="s">
        <v>556</v>
      </c>
      <c r="E14" s="238" t="s">
        <v>6</v>
      </c>
      <c r="F14" s="161">
        <v>1</v>
      </c>
      <c r="G14" s="161">
        <f>ROUNDUP(C11*F14,0)*C21-C14</f>
        <v>0</v>
      </c>
      <c r="H14" s="163"/>
      <c r="K14" s="223">
        <v>5511</v>
      </c>
      <c r="L14" s="219" t="s">
        <v>556</v>
      </c>
      <c r="M14" s="234" t="s">
        <v>6</v>
      </c>
      <c r="N14" s="220">
        <f>SUMIF($D$4:$D$98,טבלה115[[#This Row],[מוצר]],$G$4:$G$98)</f>
        <v>0</v>
      </c>
      <c r="O14" s="160"/>
    </row>
    <row r="15" spans="2:15" ht="16.5" customHeight="1">
      <c r="B15" s="723"/>
      <c r="C15" s="709"/>
      <c r="D15" s="246"/>
      <c r="E15" s="238" t="s">
        <v>6</v>
      </c>
      <c r="F15" s="161"/>
      <c r="G15" s="161"/>
      <c r="H15" s="163"/>
      <c r="K15" s="353">
        <v>5512</v>
      </c>
      <c r="L15" s="286" t="s">
        <v>557</v>
      </c>
      <c r="M15" s="287" t="s">
        <v>6</v>
      </c>
      <c r="N15" s="288">
        <f>SUMIF($D$4:$D$98,טבלה115[[#This Row],[מוצר]],$G$4:$G$98)</f>
        <v>0</v>
      </c>
      <c r="O15" s="160"/>
    </row>
    <row r="16" spans="2:15" ht="16.5" customHeight="1" thickBot="1">
      <c r="B16" s="723"/>
      <c r="C16" s="701"/>
      <c r="D16" s="213" t="s">
        <v>48</v>
      </c>
      <c r="E16" s="238" t="str">
        <f>IF(D16=$J$96,"200 מל","250 גרם")</f>
        <v>250 גרם</v>
      </c>
      <c r="F16" s="161">
        <v>14</v>
      </c>
      <c r="G16" s="161">
        <f>ROUNDUP(C11/F16,0)*C21</f>
        <v>0</v>
      </c>
      <c r="H16" s="163"/>
      <c r="K16" s="223">
        <v>8702</v>
      </c>
      <c r="L16" s="219" t="s">
        <v>48</v>
      </c>
      <c r="M16" s="234" t="s">
        <v>49</v>
      </c>
      <c r="N16" s="247">
        <f>SUMIF($D$4:$D$98,טבלה115[[#This Row],[מוצר]],$G$4:$G$98)</f>
        <v>0</v>
      </c>
      <c r="O16" s="160"/>
    </row>
    <row r="17" spans="2:15" ht="16.5" customHeight="1" thickBot="1">
      <c r="B17" s="723"/>
      <c r="C17" s="189" t="s">
        <v>77</v>
      </c>
      <c r="D17" s="213" t="s">
        <v>913</v>
      </c>
      <c r="E17" s="238" t="s">
        <v>6</v>
      </c>
      <c r="F17" s="161">
        <v>3</v>
      </c>
      <c r="G17" s="161">
        <f>ROUNDUP(C11/F17,0)*C21</f>
        <v>0</v>
      </c>
      <c r="H17" s="163"/>
      <c r="K17" s="223">
        <v>1039</v>
      </c>
      <c r="L17" s="219" t="s">
        <v>71</v>
      </c>
      <c r="M17" s="234" t="s">
        <v>542</v>
      </c>
      <c r="N17" s="220">
        <f>SUMIF($D$4:$D$98,טבלה115[[#This Row],[מוצר]],$G$4:$G$98)</f>
        <v>0</v>
      </c>
      <c r="O17" s="160"/>
    </row>
    <row r="18" spans="2:15" ht="16.5" customHeight="1">
      <c r="B18" s="723"/>
      <c r="C18" s="700"/>
      <c r="D18" s="212" t="s">
        <v>87</v>
      </c>
      <c r="E18" s="238" t="s">
        <v>55</v>
      </c>
      <c r="F18" s="161">
        <f>1/100</f>
        <v>0.01</v>
      </c>
      <c r="G18" s="161">
        <f>ROUNDUP(C11*F18,0)*C21</f>
        <v>0</v>
      </c>
      <c r="H18" s="163"/>
      <c r="K18" s="223">
        <v>6962</v>
      </c>
      <c r="L18" s="219" t="s">
        <v>11</v>
      </c>
      <c r="M18" s="234" t="s">
        <v>559</v>
      </c>
      <c r="N18" s="220">
        <f>CEILING(SUMIF($D$4:$D$98,טבלה115[[#This Row],[מוצר]],$G$4:$G$98),240)/240</f>
        <v>0</v>
      </c>
      <c r="O18" s="160"/>
    </row>
    <row r="19" spans="2:15" ht="16.5" customHeight="1" thickBot="1">
      <c r="B19" s="723"/>
      <c r="C19" s="701"/>
      <c r="D19" s="214" t="s">
        <v>918</v>
      </c>
      <c r="E19" s="238" t="s">
        <v>60</v>
      </c>
      <c r="F19" s="289">
        <f>1/15</f>
        <v>6.6666666666666666E-2</v>
      </c>
      <c r="G19" s="161">
        <f>IF(C14&gt;0,ROUNDUP(C14*F19,0),0)*C21</f>
        <v>0</v>
      </c>
      <c r="H19" s="163" t="s">
        <v>86</v>
      </c>
      <c r="K19" s="223">
        <v>2216</v>
      </c>
      <c r="L19" s="219" t="s">
        <v>913</v>
      </c>
      <c r="M19" s="234" t="s">
        <v>914</v>
      </c>
      <c r="N19" s="220">
        <f>CEILING(SUMIF($D$4:$D$98,טבלה115[[#This Row],[מוצר]],$G$4:$G$98),50)/50</f>
        <v>0</v>
      </c>
      <c r="O19" s="160"/>
    </row>
    <row r="20" spans="2:15" ht="16.5" customHeight="1" thickBot="1">
      <c r="B20" s="723"/>
      <c r="C20" s="189" t="s">
        <v>541</v>
      </c>
      <c r="D20" s="212" t="s">
        <v>91</v>
      </c>
      <c r="E20" s="238" t="s">
        <v>54</v>
      </c>
      <c r="F20" s="289">
        <f>1/15</f>
        <v>6.6666666666666666E-2</v>
      </c>
      <c r="G20" s="161">
        <f>IF(C14&gt;0,ROUNDUP(C14*F20,0),0)*C21</f>
        <v>0</v>
      </c>
      <c r="H20" s="163" t="s">
        <v>86</v>
      </c>
      <c r="K20" s="223">
        <v>9256</v>
      </c>
      <c r="L20" s="219" t="s">
        <v>87</v>
      </c>
      <c r="M20" s="234" t="s">
        <v>55</v>
      </c>
      <c r="N20" s="220">
        <f>SUMIF($D$4:$D$98,טבלה115[[#This Row],[מוצר]],$G$4:$G$98)</f>
        <v>0</v>
      </c>
      <c r="O20" s="160"/>
    </row>
    <row r="21" spans="2:15" ht="16.5" customHeight="1">
      <c r="B21" s="723"/>
      <c r="C21" s="700"/>
      <c r="D21" s="215" t="s">
        <v>379</v>
      </c>
      <c r="E21" s="239" t="s">
        <v>6</v>
      </c>
      <c r="F21" s="178">
        <v>100</v>
      </c>
      <c r="G21" s="161">
        <f>IF(C8=$J$85,ROUNDUP(C11/F21,0),0)*C21</f>
        <v>0</v>
      </c>
      <c r="H21" s="162"/>
      <c r="K21" s="223">
        <v>6975</v>
      </c>
      <c r="L21" s="203" t="s">
        <v>918</v>
      </c>
      <c r="M21" s="235" t="s">
        <v>60</v>
      </c>
      <c r="N21" s="220">
        <f>SUMIF($D$4:$D$98,טבלה115[[#This Row],[מוצר]],$G$4:$G$98)</f>
        <v>0</v>
      </c>
      <c r="O21" s="160"/>
    </row>
    <row r="22" spans="2:15" ht="16.5" customHeight="1" thickBot="1">
      <c r="B22" s="723"/>
      <c r="C22" s="701"/>
      <c r="D22" s="215" t="s">
        <v>14</v>
      </c>
      <c r="E22" s="239" t="s">
        <v>46</v>
      </c>
      <c r="F22" s="178">
        <v>5</v>
      </c>
      <c r="G22" s="161">
        <f>IF(C8=$J$85,ROUNDUP(C11/F22,0),0)*C21</f>
        <v>0</v>
      </c>
      <c r="H22" s="162"/>
      <c r="K22" s="223">
        <v>2647</v>
      </c>
      <c r="L22" s="203" t="s">
        <v>91</v>
      </c>
      <c r="M22" s="235" t="s">
        <v>54</v>
      </c>
      <c r="N22" s="220">
        <f>SUMIF($D$4:$D$98,טבלה115[[#This Row],[מוצר]],$G$4:$G$98)</f>
        <v>0</v>
      </c>
      <c r="O22" s="160"/>
    </row>
    <row r="23" spans="2:15" ht="16.5" customHeight="1">
      <c r="D23" s="215" t="s">
        <v>13</v>
      </c>
      <c r="E23" s="239" t="s">
        <v>8</v>
      </c>
      <c r="F23" s="178">
        <v>200</v>
      </c>
      <c r="G23" s="161">
        <f>IF(C8=$J$85,ROUNDUP(C11/F23,0),0)*C21</f>
        <v>0</v>
      </c>
      <c r="H23" s="162"/>
      <c r="K23" s="223">
        <v>496</v>
      </c>
      <c r="L23" s="219" t="s">
        <v>379</v>
      </c>
      <c r="M23" s="234" t="s">
        <v>6</v>
      </c>
      <c r="N23" s="220">
        <f>SUMIF($D$4:$D$98,טבלה115[[#This Row],[מוצר]],$G$4:$G$98)</f>
        <v>0</v>
      </c>
      <c r="O23" s="160"/>
    </row>
    <row r="24" spans="2:15" ht="16.5" customHeight="1">
      <c r="D24" s="215" t="s">
        <v>531</v>
      </c>
      <c r="E24" s="239" t="s">
        <v>8</v>
      </c>
      <c r="F24" s="178">
        <v>300</v>
      </c>
      <c r="G24" s="161">
        <f>IF(C8=$J$85,ROUNDUP(C11/F24,0),0)*C21</f>
        <v>0</v>
      </c>
      <c r="H24" s="162"/>
      <c r="K24" s="223">
        <v>5479</v>
      </c>
      <c r="L24" s="219" t="s">
        <v>14</v>
      </c>
      <c r="M24" s="234" t="s">
        <v>46</v>
      </c>
      <c r="N24" s="220">
        <f>SUMIF($D$4:$D$98,טבלה115[[#This Row],[מוצר]],$G$4:$G$98)</f>
        <v>0</v>
      </c>
      <c r="O24" s="160"/>
    </row>
    <row r="25" spans="2:15" ht="16.5" customHeight="1">
      <c r="D25" s="226" t="s">
        <v>67</v>
      </c>
      <c r="E25" s="239" t="s">
        <v>6</v>
      </c>
      <c r="F25" s="178">
        <v>1</v>
      </c>
      <c r="G25" s="161">
        <f>IF(C8=$J$85,ROUNDUP(C11/F25,0),0)*C21</f>
        <v>0</v>
      </c>
      <c r="H25" s="162"/>
      <c r="K25" s="223">
        <v>6463</v>
      </c>
      <c r="L25" s="219" t="s">
        <v>13</v>
      </c>
      <c r="M25" s="234" t="s">
        <v>8</v>
      </c>
      <c r="N25" s="220">
        <f>SUMIF($D$4:$D$98,טבלה115[[#This Row],[מוצר]],$G$4:$G$98)</f>
        <v>0</v>
      </c>
      <c r="O25" s="160"/>
    </row>
    <row r="26" spans="2:15" ht="16.5" customHeight="1">
      <c r="D26" s="226" t="s">
        <v>514</v>
      </c>
      <c r="E26" s="239" t="s">
        <v>6</v>
      </c>
      <c r="F26" s="178">
        <v>1</v>
      </c>
      <c r="G26" s="161">
        <f>IF(C8=$J$85,ROUNDUP(C11/F26,0),0)*C21</f>
        <v>0</v>
      </c>
      <c r="H26" s="162"/>
      <c r="K26" s="223">
        <v>2164</v>
      </c>
      <c r="L26" s="219" t="s">
        <v>531</v>
      </c>
      <c r="M26" s="234" t="s">
        <v>8</v>
      </c>
      <c r="N26" s="220">
        <f>SUMIF($D$4:$D$98,טבלה115[[#This Row],[מוצר]],$G$4:$G$98)</f>
        <v>0</v>
      </c>
    </row>
    <row r="27" spans="2:15" ht="16.5" customHeight="1">
      <c r="D27" s="227" t="s">
        <v>32</v>
      </c>
      <c r="E27" s="238" t="s">
        <v>6</v>
      </c>
      <c r="F27" s="161">
        <v>2</v>
      </c>
      <c r="G27" s="161">
        <f>ROUNDUP(C11/F27,0)*C21</f>
        <v>0</v>
      </c>
      <c r="H27" s="163"/>
      <c r="L27" s="170"/>
      <c r="M27" s="236"/>
      <c r="N27" s="190"/>
    </row>
    <row r="28" spans="2:15" ht="16.5" customHeight="1">
      <c r="D28" s="227" t="s">
        <v>33</v>
      </c>
      <c r="E28" s="240" t="s">
        <v>6</v>
      </c>
      <c r="F28" s="164">
        <v>2</v>
      </c>
      <c r="G28" s="161">
        <f>ROUNDUP(C11/F28,0)*C21</f>
        <v>0</v>
      </c>
      <c r="H28" s="163"/>
      <c r="O28" s="160"/>
    </row>
    <row r="29" spans="2:15" ht="16.5" customHeight="1">
      <c r="D29" s="227" t="s">
        <v>28</v>
      </c>
      <c r="E29" s="240" t="s">
        <v>6</v>
      </c>
      <c r="F29" s="164">
        <v>2</v>
      </c>
      <c r="G29" s="161">
        <f>ROUNDUP(C11/F29,0)*C21</f>
        <v>0</v>
      </c>
      <c r="H29" s="163"/>
      <c r="K29" s="223" t="s">
        <v>533</v>
      </c>
      <c r="L29" s="229" t="s">
        <v>16</v>
      </c>
      <c r="M29" s="233" t="s">
        <v>59</v>
      </c>
      <c r="N29" s="230" t="s">
        <v>9</v>
      </c>
      <c r="O29" s="160"/>
    </row>
    <row r="30" spans="2:15" ht="16.5" customHeight="1">
      <c r="D30" s="227" t="s">
        <v>125</v>
      </c>
      <c r="E30" s="240" t="s">
        <v>6</v>
      </c>
      <c r="F30" s="164">
        <v>1.3</v>
      </c>
      <c r="G30" s="161">
        <f>IF(C6=$J$83,ROUNDUP(C11*F30,0),0)*C21</f>
        <v>0</v>
      </c>
      <c r="H30" s="163"/>
      <c r="K30" s="354" t="s">
        <v>573</v>
      </c>
      <c r="L30" s="231" t="s">
        <v>67</v>
      </c>
      <c r="M30" s="237" t="s">
        <v>6</v>
      </c>
      <c r="N30" s="232">
        <f>SUMIF($D$4:$D$98,טבלה516[[#This Row],[מוצר]],$G$4:$G$98)</f>
        <v>0</v>
      </c>
      <c r="O30" s="160"/>
    </row>
    <row r="31" spans="2:15" ht="16.5" customHeight="1">
      <c r="D31" s="227" t="s">
        <v>615</v>
      </c>
      <c r="E31" s="240" t="s">
        <v>6</v>
      </c>
      <c r="F31" s="164">
        <f>3/100</f>
        <v>0.03</v>
      </c>
      <c r="G31" s="161">
        <f>ROUNDUP(C11*F31,0)*C21</f>
        <v>0</v>
      </c>
      <c r="H31" s="163"/>
      <c r="K31" s="354" t="s">
        <v>576</v>
      </c>
      <c r="L31" s="231" t="s">
        <v>514</v>
      </c>
      <c r="M31" s="237" t="s">
        <v>6</v>
      </c>
      <c r="N31" s="232">
        <f>SUMIF($D$4:$D$98,טבלה516[[#This Row],[מוצר]],$G$4:$G$98)</f>
        <v>0</v>
      </c>
      <c r="O31" s="160"/>
    </row>
    <row r="32" spans="2:15" ht="16.5" customHeight="1" thickBot="1">
      <c r="D32" s="228" t="s">
        <v>34</v>
      </c>
      <c r="E32" s="241" t="s">
        <v>6</v>
      </c>
      <c r="F32" s="171">
        <v>40</v>
      </c>
      <c r="G32" s="217">
        <f>ROUNDUP(C11/F32,0)*C21</f>
        <v>0</v>
      </c>
      <c r="H32" s="397"/>
      <c r="K32" s="354" t="s">
        <v>574</v>
      </c>
      <c r="L32" s="231" t="s">
        <v>32</v>
      </c>
      <c r="M32" s="237" t="s">
        <v>6</v>
      </c>
      <c r="N32" s="232">
        <f>SUMIF($D$4:$D$98,טבלה516[[#This Row],[מוצר]],$G$4:$G$98)</f>
        <v>0</v>
      </c>
      <c r="O32" s="160"/>
    </row>
    <row r="33" spans="1:15" ht="16.5" customHeight="1">
      <c r="K33" s="354" t="s">
        <v>575</v>
      </c>
      <c r="L33" s="231" t="s">
        <v>33</v>
      </c>
      <c r="M33" s="237" t="s">
        <v>6</v>
      </c>
      <c r="N33" s="232">
        <f>SUMIF($D$4:$D$98,טבלה516[[#This Row],[מוצר]],$G$4:$G$98)</f>
        <v>0</v>
      </c>
      <c r="O33" s="160"/>
    </row>
    <row r="34" spans="1:15" ht="16.5" customHeight="1" thickBot="1">
      <c r="C34" s="221"/>
      <c r="D34" s="195"/>
      <c r="E34" s="242"/>
      <c r="F34" s="199"/>
      <c r="G34" s="195"/>
      <c r="H34" s="195"/>
      <c r="K34" s="354" t="s">
        <v>569</v>
      </c>
      <c r="L34" s="231" t="s">
        <v>28</v>
      </c>
      <c r="M34" s="237" t="s">
        <v>6</v>
      </c>
      <c r="N34" s="232">
        <f>SUMIF($D$4:$D$98,טבלה516[[#This Row],[מוצר]],$G$4:$G$98)</f>
        <v>0</v>
      </c>
      <c r="O34" s="160"/>
    </row>
    <row r="35" spans="1:15" ht="16.5" customHeight="1">
      <c r="A35" s="219"/>
      <c r="B35" s="698"/>
      <c r="C35" s="710" t="s">
        <v>536</v>
      </c>
      <c r="D35" s="711"/>
      <c r="E35" s="711"/>
      <c r="F35" s="711"/>
      <c r="G35" s="711"/>
      <c r="H35" s="712"/>
      <c r="K35" s="354" t="s">
        <v>579</v>
      </c>
      <c r="L35" s="231" t="s">
        <v>125</v>
      </c>
      <c r="M35" s="237" t="s">
        <v>6</v>
      </c>
      <c r="N35" s="232">
        <f>SUMIF($D$4:$D$98,טבלה516[[#This Row],[מוצר]],$G$4:$G$98)</f>
        <v>0</v>
      </c>
      <c r="O35" s="160"/>
    </row>
    <row r="36" spans="1:15" ht="16.5" customHeight="1" thickBot="1">
      <c r="A36" s="219"/>
      <c r="B36" s="699"/>
      <c r="C36" s="713"/>
      <c r="D36" s="714"/>
      <c r="E36" s="714"/>
      <c r="F36" s="714"/>
      <c r="G36" s="714"/>
      <c r="H36" s="715"/>
      <c r="K36" s="354" t="s">
        <v>577</v>
      </c>
      <c r="L36" s="231" t="s">
        <v>34</v>
      </c>
      <c r="M36" s="237" t="s">
        <v>6</v>
      </c>
      <c r="N36" s="232">
        <f>SUMIF($D$4:$D$98,טבלה516[[#This Row],[מוצר]],$G$4:$G$98)</f>
        <v>0</v>
      </c>
      <c r="O36" s="160"/>
    </row>
    <row r="37" spans="1:15" ht="16.5" customHeight="1">
      <c r="A37" s="219"/>
      <c r="B37" s="699"/>
      <c r="C37" s="704" t="s">
        <v>526</v>
      </c>
      <c r="D37" s="718" t="s">
        <v>16</v>
      </c>
      <c r="E37" s="720" t="s">
        <v>47</v>
      </c>
      <c r="F37" s="702" t="s">
        <v>10</v>
      </c>
      <c r="G37" s="702" t="s">
        <v>9</v>
      </c>
      <c r="H37" s="716" t="s">
        <v>42</v>
      </c>
      <c r="K37" s="354" t="s">
        <v>613</v>
      </c>
      <c r="L37" s="231" t="s">
        <v>615</v>
      </c>
      <c r="M37" s="237" t="s">
        <v>6</v>
      </c>
      <c r="N37" s="391">
        <f>SUMIF($D$4:$D$98,טבלה516[[#This Row],[מוצר]],$G$4:$G$98)</f>
        <v>0</v>
      </c>
    </row>
    <row r="38" spans="1:15" ht="16.5" customHeight="1" thickBot="1">
      <c r="A38" s="219"/>
      <c r="B38" s="699"/>
      <c r="C38" s="705"/>
      <c r="D38" s="719"/>
      <c r="E38" s="721"/>
      <c r="F38" s="703"/>
      <c r="G38" s="703"/>
      <c r="H38" s="717"/>
    </row>
    <row r="39" spans="1:15" ht="16.5" customHeight="1">
      <c r="A39" s="219"/>
      <c r="B39" s="699"/>
      <c r="C39" s="706" t="s">
        <v>122</v>
      </c>
      <c r="D39" s="392" t="s">
        <v>56</v>
      </c>
      <c r="E39" s="244" t="s">
        <v>6</v>
      </c>
      <c r="F39" s="393">
        <f>1/1.5</f>
        <v>0.66666666666666663</v>
      </c>
      <c r="G39" s="394">
        <f>CEILING(C44/F39,10)*C54</f>
        <v>0</v>
      </c>
      <c r="H39" s="395"/>
    </row>
    <row r="40" spans="1:15" ht="16.5" customHeight="1" thickBot="1">
      <c r="A40" s="219"/>
      <c r="B40" s="699"/>
      <c r="C40" s="707"/>
      <c r="D40" s="213" t="s">
        <v>79</v>
      </c>
      <c r="E40" s="238" t="str">
        <f>IF(D40=J141,"יח'","חב' של 3")</f>
        <v>חב' של 3</v>
      </c>
      <c r="F40" s="161" t="str">
        <f>IF(D40=J141,"2","3")</f>
        <v>3</v>
      </c>
      <c r="G40" s="161">
        <f>IF(D40=$J$108,ROUNDUP(C51*F40,0),ROUNDUP(C51/F40,0))*C54</f>
        <v>0</v>
      </c>
      <c r="H40" s="162"/>
    </row>
    <row r="41" spans="1:15" ht="16.5" customHeight="1">
      <c r="A41" s="219"/>
      <c r="B41" s="699"/>
      <c r="C41" s="708" t="s">
        <v>540</v>
      </c>
      <c r="D41" s="212" t="s">
        <v>68</v>
      </c>
      <c r="E41" s="238" t="s">
        <v>8</v>
      </c>
      <c r="F41" s="161">
        <f>6/200</f>
        <v>0.03</v>
      </c>
      <c r="G41" s="161">
        <f>ROUNDUP(C44*F41,0)*C54</f>
        <v>0</v>
      </c>
      <c r="H41" s="162"/>
    </row>
    <row r="42" spans="1:15" ht="15.75" customHeight="1" thickBot="1">
      <c r="A42" s="219"/>
      <c r="B42" s="699"/>
      <c r="C42" s="707"/>
      <c r="D42" s="212" t="s">
        <v>2</v>
      </c>
      <c r="E42" s="238" t="s">
        <v>8</v>
      </c>
      <c r="F42" s="161">
        <v>0.02</v>
      </c>
      <c r="G42" s="161">
        <f>ROUNDUP(C44*F42,0)*C54</f>
        <v>0</v>
      </c>
      <c r="H42" s="162"/>
    </row>
    <row r="43" spans="1:15" ht="16.5" customHeight="1" thickBot="1">
      <c r="A43" s="219"/>
      <c r="B43" s="699"/>
      <c r="C43" s="245" t="s">
        <v>36</v>
      </c>
      <c r="D43" s="396" t="s">
        <v>92</v>
      </c>
      <c r="E43" s="238" t="s">
        <v>8</v>
      </c>
      <c r="F43" s="161">
        <v>0.01</v>
      </c>
      <c r="G43" s="161">
        <f>IF(D43=$J$115,0,ROUNDUP(C44*F43,0))*C54</f>
        <v>0</v>
      </c>
      <c r="H43" s="162"/>
    </row>
    <row r="44" spans="1:15" ht="16.5" customHeight="1">
      <c r="A44" s="219"/>
      <c r="B44" s="699"/>
      <c r="C44" s="700"/>
      <c r="D44" s="212" t="s">
        <v>45</v>
      </c>
      <c r="E44" s="238" t="s">
        <v>49</v>
      </c>
      <c r="F44" s="161">
        <v>24</v>
      </c>
      <c r="G44" s="161">
        <f>ROUNDUP(C44/F44,0)*C54</f>
        <v>0</v>
      </c>
      <c r="H44" s="163"/>
    </row>
    <row r="45" spans="1:15" ht="16.5" customHeight="1" thickBot="1">
      <c r="A45" s="219"/>
      <c r="B45" s="699"/>
      <c r="C45" s="701"/>
      <c r="D45" s="212" t="s">
        <v>12</v>
      </c>
      <c r="E45" s="238" t="s">
        <v>49</v>
      </c>
      <c r="F45" s="161">
        <v>12</v>
      </c>
      <c r="G45" s="161">
        <f>ROUNDUP(C44/F45,0)*C54</f>
        <v>0</v>
      </c>
      <c r="H45" s="163"/>
    </row>
    <row r="46" spans="1:15" ht="16.5" customHeight="1" thickBot="1">
      <c r="A46" s="219"/>
      <c r="B46" s="699"/>
      <c r="C46" s="549" t="s">
        <v>76</v>
      </c>
      <c r="D46" s="212" t="s">
        <v>78</v>
      </c>
      <c r="E46" s="238" t="s">
        <v>6</v>
      </c>
      <c r="F46" s="218">
        <v>1</v>
      </c>
      <c r="G46" s="161">
        <f>ROUNDUP(C47*F46,0)*C54</f>
        <v>0</v>
      </c>
      <c r="H46" s="163"/>
    </row>
    <row r="47" spans="1:15" ht="16.5" customHeight="1">
      <c r="A47" s="219"/>
      <c r="B47" s="699"/>
      <c r="C47" s="700"/>
      <c r="D47" s="213" t="s">
        <v>556</v>
      </c>
      <c r="E47" s="238" t="s">
        <v>6</v>
      </c>
      <c r="F47" s="161">
        <v>1</v>
      </c>
      <c r="G47" s="161">
        <f>ROUNDUP(C44*F47,0)*C54-C47</f>
        <v>0</v>
      </c>
      <c r="H47" s="163"/>
    </row>
    <row r="48" spans="1:15" ht="16.5" customHeight="1">
      <c r="A48" s="219"/>
      <c r="B48" s="699"/>
      <c r="C48" s="709"/>
      <c r="D48" s="246"/>
      <c r="E48" s="238"/>
      <c r="F48" s="161"/>
      <c r="G48" s="161"/>
      <c r="H48" s="163"/>
    </row>
    <row r="49" spans="1:14" ht="16.5" customHeight="1" thickBot="1">
      <c r="A49" s="219"/>
      <c r="B49" s="699"/>
      <c r="C49" s="701"/>
      <c r="D49" s="213" t="s">
        <v>48</v>
      </c>
      <c r="E49" s="238" t="str">
        <f>IF(D49=$J$96,"200 מל","250 גרם")</f>
        <v>250 גרם</v>
      </c>
      <c r="F49" s="161">
        <v>14</v>
      </c>
      <c r="G49" s="161">
        <f>ROUNDUP(C44/F49,0)*C54</f>
        <v>0</v>
      </c>
      <c r="H49" s="163"/>
    </row>
    <row r="50" spans="1:14" ht="16.5" customHeight="1" thickBot="1">
      <c r="A50" s="219"/>
      <c r="B50" s="699"/>
      <c r="C50" s="245" t="s">
        <v>77</v>
      </c>
      <c r="D50" s="213" t="s">
        <v>913</v>
      </c>
      <c r="E50" s="238" t="s">
        <v>538</v>
      </c>
      <c r="F50" s="161">
        <v>3</v>
      </c>
      <c r="G50" s="161">
        <f>ROUNDUP(C44/F50,0)*C54</f>
        <v>0</v>
      </c>
      <c r="H50" s="163"/>
    </row>
    <row r="51" spans="1:14" ht="16.5" customHeight="1">
      <c r="A51" s="219"/>
      <c r="B51" s="699"/>
      <c r="C51" s="700"/>
      <c r="D51" s="212" t="s">
        <v>87</v>
      </c>
      <c r="E51" s="238" t="s">
        <v>55</v>
      </c>
      <c r="F51" s="161">
        <f>1/100</f>
        <v>0.01</v>
      </c>
      <c r="G51" s="161">
        <f>ROUNDUP(C44*F51,0)*C54</f>
        <v>0</v>
      </c>
      <c r="H51" s="163"/>
    </row>
    <row r="52" spans="1:14" ht="16.5" customHeight="1" thickBot="1">
      <c r="A52" s="219"/>
      <c r="B52" s="699"/>
      <c r="C52" s="701"/>
      <c r="D52" s="214" t="s">
        <v>94</v>
      </c>
      <c r="E52" s="238" t="s">
        <v>52</v>
      </c>
      <c r="F52" s="289">
        <f>1/30</f>
        <v>3.3333333333333333E-2</v>
      </c>
      <c r="G52" s="161">
        <f>IF(C47&gt;0,ROUNDUP(C47*F52,0),0)*C54</f>
        <v>0</v>
      </c>
      <c r="H52" s="163" t="s">
        <v>86</v>
      </c>
    </row>
    <row r="53" spans="1:14" ht="16.5" customHeight="1" thickBot="1">
      <c r="A53" s="219"/>
      <c r="B53" s="699"/>
      <c r="C53" s="245" t="s">
        <v>541</v>
      </c>
      <c r="D53" s="212" t="s">
        <v>91</v>
      </c>
      <c r="E53" s="238" t="s">
        <v>54</v>
      </c>
      <c r="F53" s="289">
        <f>1/30</f>
        <v>3.3333333333333333E-2</v>
      </c>
      <c r="G53" s="161">
        <f>IF(C47&gt;0,ROUNDUP(C47*F53,0),0)*C54</f>
        <v>0</v>
      </c>
      <c r="H53" s="163" t="s">
        <v>86</v>
      </c>
    </row>
    <row r="54" spans="1:14" ht="16.5" customHeight="1">
      <c r="A54" s="219"/>
      <c r="B54" s="699"/>
      <c r="C54" s="700"/>
      <c r="D54" s="215" t="s">
        <v>379</v>
      </c>
      <c r="E54" s="239" t="s">
        <v>6</v>
      </c>
      <c r="F54" s="178">
        <v>100</v>
      </c>
      <c r="G54" s="161">
        <f>IF(C41=$J$85,ROUNDUP(C44/F54,0),0)*C54</f>
        <v>0</v>
      </c>
      <c r="H54" s="162"/>
    </row>
    <row r="55" spans="1:14" ht="16.5" customHeight="1" thickBot="1">
      <c r="A55" s="219"/>
      <c r="B55" s="699"/>
      <c r="C55" s="701"/>
      <c r="D55" s="215" t="s">
        <v>14</v>
      </c>
      <c r="E55" s="239" t="s">
        <v>46</v>
      </c>
      <c r="F55" s="178">
        <v>5</v>
      </c>
      <c r="G55" s="161">
        <f>IF(C41=$J$85,ROUNDUP(C44/F55,0),0)*C54</f>
        <v>0</v>
      </c>
      <c r="H55" s="162"/>
    </row>
    <row r="56" spans="1:14" ht="16.5" customHeight="1">
      <c r="A56" s="219"/>
      <c r="D56" s="215" t="s">
        <v>13</v>
      </c>
      <c r="E56" s="239" t="s">
        <v>8</v>
      </c>
      <c r="F56" s="178">
        <v>200</v>
      </c>
      <c r="G56" s="161">
        <f>IF(C41=$J$85,ROUNDUP(C44/F56,0),0)*C54</f>
        <v>0</v>
      </c>
      <c r="H56" s="162"/>
    </row>
    <row r="57" spans="1:14" ht="16.5" customHeight="1">
      <c r="A57" s="219"/>
      <c r="D57" s="215" t="s">
        <v>531</v>
      </c>
      <c r="E57" s="239" t="s">
        <v>8</v>
      </c>
      <c r="F57" s="178">
        <v>300</v>
      </c>
      <c r="G57" s="161">
        <f>IF(C41=$J$85,ROUNDUP(C44/F57,0),0)*C54</f>
        <v>0</v>
      </c>
      <c r="H57" s="162"/>
    </row>
    <row r="58" spans="1:14" ht="16.5" customHeight="1">
      <c r="A58" s="219"/>
      <c r="D58" s="226" t="s">
        <v>67</v>
      </c>
      <c r="E58" s="239" t="s">
        <v>6</v>
      </c>
      <c r="F58" s="178">
        <v>1</v>
      </c>
      <c r="G58" s="161">
        <f>IF(C41=$J$85,ROUNDUP(C44/F58,0),0)*C54</f>
        <v>0</v>
      </c>
      <c r="H58" s="162"/>
      <c r="M58" s="236"/>
      <c r="N58" s="190"/>
    </row>
    <row r="59" spans="1:14" ht="16.5" customHeight="1">
      <c r="A59" s="219"/>
      <c r="D59" s="226" t="s">
        <v>514</v>
      </c>
      <c r="E59" s="239" t="s">
        <v>6</v>
      </c>
      <c r="F59" s="178">
        <v>1</v>
      </c>
      <c r="G59" s="161">
        <f>IF(C41=$J$85,ROUNDUP(C44/F59,0),0)*C54</f>
        <v>0</v>
      </c>
      <c r="H59" s="162"/>
      <c r="L59" s="195"/>
      <c r="M59" s="210"/>
      <c r="N59" s="190"/>
    </row>
    <row r="60" spans="1:14" ht="16.5" customHeight="1">
      <c r="A60" s="219"/>
      <c r="D60" s="227" t="s">
        <v>32</v>
      </c>
      <c r="E60" s="238" t="s">
        <v>6</v>
      </c>
      <c r="F60" s="161">
        <v>2</v>
      </c>
      <c r="G60" s="161">
        <f>ROUNDUP(C44/F60,0)*C54</f>
        <v>0</v>
      </c>
      <c r="H60" s="163"/>
    </row>
    <row r="61" spans="1:14" ht="16.5" customHeight="1">
      <c r="A61" s="219"/>
      <c r="D61" s="227" t="s">
        <v>33</v>
      </c>
      <c r="E61" s="240" t="s">
        <v>6</v>
      </c>
      <c r="F61" s="164">
        <v>2</v>
      </c>
      <c r="G61" s="161">
        <f>ROUNDUP(C44/F61,0)*C54</f>
        <v>0</v>
      </c>
      <c r="H61" s="163"/>
      <c r="J61" s="165">
        <f>SUM(J64:J67)</f>
        <v>0</v>
      </c>
    </row>
    <row r="62" spans="1:14" ht="16.5" customHeight="1">
      <c r="A62" s="219"/>
      <c r="D62" s="227" t="s">
        <v>28</v>
      </c>
      <c r="E62" s="240" t="s">
        <v>6</v>
      </c>
      <c r="F62" s="164">
        <v>2</v>
      </c>
      <c r="G62" s="161">
        <f>ROUNDUP(C44/F62,0)*C54</f>
        <v>0</v>
      </c>
      <c r="H62" s="163"/>
      <c r="J62" s="165">
        <f>COUNTIF(J64:J67,"&gt;0")</f>
        <v>0</v>
      </c>
    </row>
    <row r="63" spans="1:14" ht="16.5" customHeight="1">
      <c r="A63" s="219"/>
      <c r="D63" s="227" t="s">
        <v>125</v>
      </c>
      <c r="E63" s="240" t="s">
        <v>6</v>
      </c>
      <c r="F63" s="164">
        <v>1.3</v>
      </c>
      <c r="G63" s="161">
        <f>IF(C39=$J$83,ROUNDUP(C44*F63,0),0)*C54</f>
        <v>0</v>
      </c>
      <c r="H63" s="163"/>
      <c r="J63" s="165">
        <v>0.15</v>
      </c>
    </row>
    <row r="64" spans="1:14" ht="16.5" customHeight="1">
      <c r="A64" s="219"/>
      <c r="D64" s="227" t="s">
        <v>615</v>
      </c>
      <c r="E64" s="240" t="s">
        <v>6</v>
      </c>
      <c r="F64" s="164">
        <f>3/100</f>
        <v>0.03</v>
      </c>
      <c r="G64" s="161">
        <f>ROUNDUP(C44*F64,0)*C54</f>
        <v>0</v>
      </c>
      <c r="H64" s="163"/>
      <c r="J64" s="160">
        <f>G19</f>
        <v>0</v>
      </c>
    </row>
    <row r="65" spans="1:14" ht="16.5" customHeight="1" thickBot="1">
      <c r="A65" s="219"/>
      <c r="D65" s="228" t="s">
        <v>34</v>
      </c>
      <c r="E65" s="241" t="s">
        <v>6</v>
      </c>
      <c r="F65" s="171">
        <v>40</v>
      </c>
      <c r="G65" s="217">
        <f>ROUNDUP(C44/F65,0)*C54</f>
        <v>0</v>
      </c>
      <c r="H65" s="397"/>
      <c r="J65" s="160" t="str">
        <f>G70</f>
        <v>כמות</v>
      </c>
    </row>
    <row r="66" spans="1:14" ht="16.5" customHeight="1">
      <c r="A66" s="219"/>
      <c r="B66" s="219"/>
      <c r="C66" s="221"/>
      <c r="D66" s="224"/>
      <c r="E66" s="234"/>
      <c r="F66" s="220"/>
      <c r="G66" s="219"/>
      <c r="H66" s="219"/>
      <c r="J66" s="160">
        <f>G102</f>
        <v>0</v>
      </c>
    </row>
    <row r="67" spans="1:14" ht="16.5" customHeight="1" thickBot="1">
      <c r="A67" s="219"/>
      <c r="B67" s="219"/>
      <c r="C67" s="221"/>
      <c r="D67" s="221"/>
      <c r="E67" s="221"/>
      <c r="F67" s="221"/>
      <c r="G67" s="221"/>
      <c r="H67" s="221"/>
      <c r="J67" s="160">
        <f>G134</f>
        <v>0</v>
      </c>
    </row>
    <row r="68" spans="1:14" ht="16.5" customHeight="1">
      <c r="A68" s="219"/>
      <c r="B68" s="698"/>
      <c r="C68" s="710" t="s">
        <v>536</v>
      </c>
      <c r="D68" s="711"/>
      <c r="E68" s="711"/>
      <c r="F68" s="711"/>
      <c r="G68" s="711"/>
      <c r="H68" s="712"/>
    </row>
    <row r="69" spans="1:14" ht="16.5" customHeight="1" thickBot="1">
      <c r="A69" s="219"/>
      <c r="B69" s="699"/>
      <c r="C69" s="713"/>
      <c r="D69" s="714"/>
      <c r="E69" s="714"/>
      <c r="F69" s="714"/>
      <c r="G69" s="714"/>
      <c r="H69" s="715"/>
    </row>
    <row r="70" spans="1:14" ht="16.5" customHeight="1">
      <c r="A70" s="219"/>
      <c r="B70" s="699"/>
      <c r="C70" s="704" t="s">
        <v>526</v>
      </c>
      <c r="D70" s="718" t="s">
        <v>16</v>
      </c>
      <c r="E70" s="720" t="s">
        <v>47</v>
      </c>
      <c r="F70" s="702" t="s">
        <v>10</v>
      </c>
      <c r="G70" s="702" t="s">
        <v>9</v>
      </c>
      <c r="H70" s="716" t="s">
        <v>42</v>
      </c>
      <c r="N70" s="166"/>
    </row>
    <row r="71" spans="1:14" ht="16.5" customHeight="1" thickBot="1">
      <c r="A71" s="219"/>
      <c r="B71" s="699"/>
      <c r="C71" s="705"/>
      <c r="D71" s="719"/>
      <c r="E71" s="721"/>
      <c r="F71" s="703"/>
      <c r="G71" s="703"/>
      <c r="H71" s="717"/>
      <c r="N71" s="166"/>
    </row>
    <row r="72" spans="1:14" ht="16.5" customHeight="1">
      <c r="A72" s="219"/>
      <c r="B72" s="699"/>
      <c r="C72" s="706" t="s">
        <v>122</v>
      </c>
      <c r="D72" s="392" t="s">
        <v>56</v>
      </c>
      <c r="E72" s="244" t="s">
        <v>6</v>
      </c>
      <c r="F72" s="393">
        <f>1/1.5</f>
        <v>0.66666666666666663</v>
      </c>
      <c r="G72" s="394">
        <f>CEILING(C77/F72,10)*C87</f>
        <v>0</v>
      </c>
      <c r="H72" s="395"/>
      <c r="N72" s="166"/>
    </row>
    <row r="73" spans="1:14" ht="16.5" customHeight="1" thickBot="1">
      <c r="A73" s="219"/>
      <c r="B73" s="699"/>
      <c r="C73" s="707"/>
      <c r="D73" s="213" t="s">
        <v>79</v>
      </c>
      <c r="E73" s="238" t="str">
        <f>IF(D73=J174,"יח'","חב' של 3")</f>
        <v>חב' של 3</v>
      </c>
      <c r="F73" s="161" t="str">
        <f>IF(D73=J174,"2","3")</f>
        <v>3</v>
      </c>
      <c r="G73" s="161">
        <f>IF(D73=$J$108,ROUNDUP(C84*F73,0),ROUNDUP(C84/F73,0))*C87</f>
        <v>0</v>
      </c>
      <c r="H73" s="162"/>
      <c r="N73" s="166"/>
    </row>
    <row r="74" spans="1:14" ht="16.5" customHeight="1">
      <c r="A74" s="219"/>
      <c r="B74" s="699"/>
      <c r="C74" s="708" t="s">
        <v>540</v>
      </c>
      <c r="D74" s="212" t="s">
        <v>68</v>
      </c>
      <c r="E74" s="238" t="s">
        <v>8</v>
      </c>
      <c r="F74" s="161">
        <f>6/200</f>
        <v>0.03</v>
      </c>
      <c r="G74" s="161">
        <f>ROUNDUP(C77*F74,0)*C87</f>
        <v>0</v>
      </c>
      <c r="H74" s="162"/>
      <c r="N74" s="166"/>
    </row>
    <row r="75" spans="1:14" ht="16.5" customHeight="1" thickBot="1">
      <c r="A75" s="219"/>
      <c r="B75" s="699"/>
      <c r="C75" s="707"/>
      <c r="D75" s="212" t="s">
        <v>2</v>
      </c>
      <c r="E75" s="238" t="s">
        <v>8</v>
      </c>
      <c r="F75" s="161">
        <v>0.02</v>
      </c>
      <c r="G75" s="161">
        <f>ROUNDUP(C77*F75,0)*C87</f>
        <v>0</v>
      </c>
      <c r="H75" s="162"/>
      <c r="N75" s="166"/>
    </row>
    <row r="76" spans="1:14" ht="16.5" customHeight="1" thickBot="1">
      <c r="A76" s="219"/>
      <c r="B76" s="699"/>
      <c r="C76" s="245" t="s">
        <v>36</v>
      </c>
      <c r="D76" s="396" t="s">
        <v>92</v>
      </c>
      <c r="E76" s="238" t="s">
        <v>8</v>
      </c>
      <c r="F76" s="161">
        <v>0.01</v>
      </c>
      <c r="G76" s="161">
        <f>IF(D76=$J$115,0,ROUNDUP(C77*F76,0))*C87</f>
        <v>0</v>
      </c>
      <c r="H76" s="162"/>
      <c r="J76" s="160" t="s">
        <v>531</v>
      </c>
    </row>
    <row r="77" spans="1:14" ht="16.5" customHeight="1">
      <c r="A77" s="219"/>
      <c r="B77" s="699"/>
      <c r="C77" s="700"/>
      <c r="D77" s="212" t="s">
        <v>45</v>
      </c>
      <c r="E77" s="238" t="s">
        <v>49</v>
      </c>
      <c r="F77" s="161">
        <v>24</v>
      </c>
      <c r="G77" s="161">
        <f>ROUNDUP(C77/F77,0)*C87</f>
        <v>0</v>
      </c>
      <c r="H77" s="163"/>
      <c r="J77" s="169" t="s">
        <v>92</v>
      </c>
    </row>
    <row r="78" spans="1:14" ht="16.5" customHeight="1" thickBot="1">
      <c r="A78" s="219"/>
      <c r="B78" s="699"/>
      <c r="C78" s="701"/>
      <c r="D78" s="212" t="s">
        <v>12</v>
      </c>
      <c r="E78" s="238" t="s">
        <v>49</v>
      </c>
      <c r="F78" s="161">
        <v>12</v>
      </c>
      <c r="G78" s="161">
        <f>ROUNDUP(C77/F78,0)*C87</f>
        <v>0</v>
      </c>
      <c r="H78" s="163"/>
    </row>
    <row r="79" spans="1:14" ht="16.5" customHeight="1" thickBot="1">
      <c r="A79" s="219"/>
      <c r="B79" s="699"/>
      <c r="C79" s="549" t="s">
        <v>76</v>
      </c>
      <c r="D79" s="212" t="s">
        <v>78</v>
      </c>
      <c r="E79" s="238" t="s">
        <v>6</v>
      </c>
      <c r="F79" s="218">
        <v>1</v>
      </c>
      <c r="G79" s="161">
        <f>ROUNDUP(C80*F79,0)*C87</f>
        <v>0</v>
      </c>
      <c r="H79" s="163"/>
      <c r="J79" s="160" t="s">
        <v>912</v>
      </c>
    </row>
    <row r="80" spans="1:14" ht="16.5" customHeight="1">
      <c r="A80" s="219"/>
      <c r="B80" s="699"/>
      <c r="C80" s="700"/>
      <c r="D80" s="213" t="s">
        <v>556</v>
      </c>
      <c r="E80" s="238" t="s">
        <v>6</v>
      </c>
      <c r="F80" s="161">
        <v>1</v>
      </c>
      <c r="G80" s="161">
        <f>ROUNDUP(C77*F80,0)*C87-C80</f>
        <v>0</v>
      </c>
      <c r="H80" s="163"/>
      <c r="J80" s="169" t="s">
        <v>913</v>
      </c>
    </row>
    <row r="81" spans="1:11" ht="16.5" customHeight="1">
      <c r="A81" s="219"/>
      <c r="B81" s="699"/>
      <c r="C81" s="709"/>
      <c r="D81" s="246"/>
      <c r="E81" s="238"/>
      <c r="F81" s="161"/>
      <c r="G81" s="161"/>
      <c r="H81" s="163"/>
      <c r="J81" s="169" t="s">
        <v>92</v>
      </c>
    </row>
    <row r="82" spans="1:11" ht="16.5" customHeight="1" thickBot="1">
      <c r="A82" s="219"/>
      <c r="B82" s="699"/>
      <c r="C82" s="701"/>
      <c r="D82" s="213" t="s">
        <v>48</v>
      </c>
      <c r="E82" s="238" t="str">
        <f>IF(D82=$J$96,"200 מל","250 גרם")</f>
        <v>250 גרם</v>
      </c>
      <c r="F82" s="161">
        <v>14</v>
      </c>
      <c r="G82" s="161">
        <f>ROUNDUP(C77/F82,0)*C87</f>
        <v>0</v>
      </c>
      <c r="H82" s="163"/>
      <c r="J82" s="160" t="s">
        <v>122</v>
      </c>
    </row>
    <row r="83" spans="1:11" ht="16.5" customHeight="1" thickBot="1">
      <c r="A83" s="219"/>
      <c r="B83" s="699"/>
      <c r="C83" s="245" t="s">
        <v>77</v>
      </c>
      <c r="D83" s="213" t="s">
        <v>913</v>
      </c>
      <c r="E83" s="238" t="s">
        <v>538</v>
      </c>
      <c r="F83" s="161">
        <v>3</v>
      </c>
      <c r="G83" s="161">
        <f>ROUNDUP(C77/F83,0)*C87</f>
        <v>0</v>
      </c>
      <c r="H83" s="163"/>
      <c r="J83" s="160" t="s">
        <v>123</v>
      </c>
      <c r="K83" s="355"/>
    </row>
    <row r="84" spans="1:11" ht="16.5" customHeight="1">
      <c r="A84" s="219"/>
      <c r="B84" s="699"/>
      <c r="C84" s="700"/>
      <c r="D84" s="212" t="s">
        <v>87</v>
      </c>
      <c r="E84" s="238" t="s">
        <v>55</v>
      </c>
      <c r="F84" s="161">
        <f>1/100</f>
        <v>0.01</v>
      </c>
      <c r="G84" s="161">
        <f>ROUNDUP(C77*F84,0)*C87</f>
        <v>0</v>
      </c>
      <c r="H84" s="163"/>
      <c r="J84" s="168"/>
      <c r="K84" s="355"/>
    </row>
    <row r="85" spans="1:11" ht="16.5" customHeight="1" thickBot="1">
      <c r="A85" s="219"/>
      <c r="B85" s="699"/>
      <c r="C85" s="701"/>
      <c r="D85" s="214" t="s">
        <v>94</v>
      </c>
      <c r="E85" s="238" t="s">
        <v>52</v>
      </c>
      <c r="F85" s="289">
        <f>1/30</f>
        <v>3.3333333333333333E-2</v>
      </c>
      <c r="G85" s="161">
        <f>IF(C80&gt;0,ROUNDUP(C80*F85,0),0)*C87</f>
        <v>0</v>
      </c>
      <c r="H85" s="163" t="s">
        <v>86</v>
      </c>
      <c r="J85" s="168" t="s">
        <v>539</v>
      </c>
    </row>
    <row r="86" spans="1:11" ht="16.5" customHeight="1" thickBot="1">
      <c r="A86" s="219"/>
      <c r="B86" s="699"/>
      <c r="C86" s="245" t="s">
        <v>541</v>
      </c>
      <c r="D86" s="212" t="s">
        <v>91</v>
      </c>
      <c r="E86" s="238" t="s">
        <v>54</v>
      </c>
      <c r="F86" s="289">
        <f>1/30</f>
        <v>3.3333333333333333E-2</v>
      </c>
      <c r="G86" s="161">
        <f>IF(C80&gt;0,ROUNDUP(C80*F86,0),0)*C87</f>
        <v>0</v>
      </c>
      <c r="H86" s="163" t="s">
        <v>86</v>
      </c>
      <c r="J86" s="160" t="s">
        <v>540</v>
      </c>
    </row>
    <row r="87" spans="1:11" ht="16.5" customHeight="1">
      <c r="A87" s="219"/>
      <c r="B87" s="699"/>
      <c r="C87" s="700"/>
      <c r="D87" s="215" t="s">
        <v>379</v>
      </c>
      <c r="E87" s="239" t="s">
        <v>6</v>
      </c>
      <c r="F87" s="178">
        <v>100</v>
      </c>
      <c r="G87" s="161">
        <f>IF(C74=$J$85,ROUNDUP(C77/F87,0),0)*C87</f>
        <v>0</v>
      </c>
      <c r="H87" s="162"/>
    </row>
    <row r="88" spans="1:11" ht="16.5" customHeight="1" thickBot="1">
      <c r="A88" s="219"/>
      <c r="B88" s="699"/>
      <c r="C88" s="701"/>
      <c r="D88" s="215" t="s">
        <v>14</v>
      </c>
      <c r="E88" s="239" t="s">
        <v>46</v>
      </c>
      <c r="F88" s="178">
        <v>5</v>
      </c>
      <c r="G88" s="161">
        <f>IF(C74=$J$85,ROUNDUP(C77/F88,0),0)*C87</f>
        <v>0</v>
      </c>
      <c r="H88" s="162"/>
    </row>
    <row r="89" spans="1:11" ht="16.5" customHeight="1">
      <c r="A89" s="219"/>
      <c r="D89" s="215" t="s">
        <v>13</v>
      </c>
      <c r="E89" s="239" t="s">
        <v>8</v>
      </c>
      <c r="F89" s="178">
        <v>200</v>
      </c>
      <c r="G89" s="161">
        <f>IF(C74=$J$85,ROUNDUP(C77/F89,0),0)*C87</f>
        <v>0</v>
      </c>
      <c r="H89" s="162"/>
    </row>
    <row r="90" spans="1:11" ht="16.5" customHeight="1">
      <c r="A90" s="219"/>
      <c r="D90" s="215" t="s">
        <v>531</v>
      </c>
      <c r="E90" s="239" t="s">
        <v>8</v>
      </c>
      <c r="F90" s="178">
        <v>300</v>
      </c>
      <c r="G90" s="161">
        <f>IF(C74=$J$85,ROUNDUP(C77/F90,0),0)*C87</f>
        <v>0</v>
      </c>
      <c r="H90" s="162"/>
    </row>
    <row r="91" spans="1:11" ht="16.5" customHeight="1">
      <c r="A91" s="219"/>
      <c r="D91" s="226" t="s">
        <v>67</v>
      </c>
      <c r="E91" s="239" t="s">
        <v>6</v>
      </c>
      <c r="F91" s="178">
        <v>1</v>
      </c>
      <c r="G91" s="161">
        <f>IF(C74=$J$85,ROUNDUP(C77/F91,0),0)*C87</f>
        <v>0</v>
      </c>
      <c r="H91" s="162"/>
      <c r="J91" s="160" t="s">
        <v>448</v>
      </c>
    </row>
    <row r="92" spans="1:11" ht="16.5" customHeight="1">
      <c r="A92" s="219"/>
      <c r="D92" s="226" t="s">
        <v>514</v>
      </c>
      <c r="E92" s="239" t="s">
        <v>6</v>
      </c>
      <c r="F92" s="178">
        <v>1</v>
      </c>
      <c r="G92" s="161">
        <f>IF(C74=$J$85,ROUNDUP(C77/F92,0),0)*C87</f>
        <v>0</v>
      </c>
      <c r="H92" s="162"/>
      <c r="J92" s="160" t="s">
        <v>486</v>
      </c>
    </row>
    <row r="93" spans="1:11" ht="16.5" customHeight="1">
      <c r="A93" s="219"/>
      <c r="D93" s="227" t="s">
        <v>32</v>
      </c>
      <c r="E93" s="238" t="s">
        <v>6</v>
      </c>
      <c r="F93" s="161">
        <v>2</v>
      </c>
      <c r="G93" s="161">
        <f>ROUNDUP(C77/F93,0)*C87</f>
        <v>0</v>
      </c>
      <c r="H93" s="163"/>
    </row>
    <row r="94" spans="1:11" ht="16.5" customHeight="1">
      <c r="A94" s="219"/>
      <c r="D94" s="227" t="s">
        <v>33</v>
      </c>
      <c r="E94" s="240" t="s">
        <v>6</v>
      </c>
      <c r="F94" s="164">
        <v>2</v>
      </c>
      <c r="G94" s="161">
        <f>ROUNDUP(C77/F94,0)*C87</f>
        <v>0</v>
      </c>
      <c r="H94" s="163"/>
    </row>
    <row r="95" spans="1:11" ht="16.5" customHeight="1">
      <c r="A95" s="219"/>
      <c r="D95" s="227" t="s">
        <v>28</v>
      </c>
      <c r="E95" s="240" t="s">
        <v>6</v>
      </c>
      <c r="F95" s="164">
        <v>2</v>
      </c>
      <c r="G95" s="161">
        <f>ROUNDUP(C77/F95,0)*C87</f>
        <v>0</v>
      </c>
      <c r="H95" s="163"/>
      <c r="J95" s="160" t="s">
        <v>48</v>
      </c>
    </row>
    <row r="96" spans="1:11" ht="16.5" customHeight="1">
      <c r="A96" s="219"/>
      <c r="D96" s="227" t="s">
        <v>125</v>
      </c>
      <c r="E96" s="240" t="s">
        <v>6</v>
      </c>
      <c r="F96" s="164">
        <v>1.3</v>
      </c>
      <c r="G96" s="161">
        <f>IF(C72=$J$83,ROUNDUP(C77*F96,0),0)*C87</f>
        <v>0</v>
      </c>
      <c r="H96" s="163"/>
      <c r="J96" s="160" t="s">
        <v>71</v>
      </c>
    </row>
    <row r="97" spans="1:10" ht="16.5" customHeight="1">
      <c r="A97" s="219"/>
      <c r="D97" s="227" t="s">
        <v>615</v>
      </c>
      <c r="E97" s="240" t="s">
        <v>6</v>
      </c>
      <c r="F97" s="164">
        <f>3/100</f>
        <v>0.03</v>
      </c>
      <c r="G97" s="161">
        <f>ROUNDUP(C77*F97,0)*C87</f>
        <v>0</v>
      </c>
      <c r="H97" s="163"/>
    </row>
    <row r="98" spans="1:10" ht="16.5" customHeight="1" thickBot="1">
      <c r="A98" s="219"/>
      <c r="D98" s="228" t="s">
        <v>34</v>
      </c>
      <c r="E98" s="241" t="s">
        <v>6</v>
      </c>
      <c r="F98" s="171">
        <v>40</v>
      </c>
      <c r="G98" s="217">
        <f>ROUNDUP(C77/F98,0)*C87</f>
        <v>0</v>
      </c>
      <c r="H98" s="397"/>
    </row>
    <row r="99" spans="1:10" ht="16.5" customHeight="1">
      <c r="A99" s="219"/>
      <c r="B99" s="219"/>
      <c r="C99" s="203"/>
      <c r="D99" s="224"/>
      <c r="E99" s="234"/>
      <c r="F99" s="220"/>
      <c r="G99" s="219"/>
      <c r="H99" s="219"/>
    </row>
    <row r="100" spans="1:10" ht="16.5" customHeight="1">
      <c r="A100" s="219"/>
      <c r="B100" s="219"/>
      <c r="C100" s="203"/>
      <c r="D100" s="219"/>
      <c r="E100" s="234"/>
      <c r="F100" s="220"/>
      <c r="G100" s="219"/>
      <c r="H100" s="219"/>
    </row>
    <row r="101" spans="1:10" ht="16.5" customHeight="1">
      <c r="A101" s="219"/>
      <c r="B101" s="219"/>
      <c r="C101" s="203"/>
      <c r="D101" s="219"/>
      <c r="E101" s="234"/>
      <c r="F101" s="220"/>
      <c r="G101" s="219"/>
      <c r="H101" s="219"/>
    </row>
    <row r="102" spans="1:10" ht="16.5" customHeight="1">
      <c r="A102" s="219"/>
      <c r="B102" s="219"/>
      <c r="C102" s="203"/>
      <c r="D102" s="219"/>
      <c r="E102" s="234"/>
      <c r="F102" s="220"/>
      <c r="G102" s="219"/>
      <c r="H102" s="219"/>
      <c r="J102" s="160" t="s">
        <v>70</v>
      </c>
    </row>
    <row r="103" spans="1:10" ht="16.5" customHeight="1">
      <c r="A103" s="219"/>
      <c r="B103" s="219"/>
      <c r="C103" s="203"/>
      <c r="D103" s="219"/>
      <c r="E103" s="234"/>
      <c r="F103" s="220"/>
      <c r="G103" s="219"/>
      <c r="H103" s="219"/>
      <c r="J103" s="160" t="s">
        <v>556</v>
      </c>
    </row>
    <row r="104" spans="1:10" ht="16.5" customHeight="1">
      <c r="A104" s="219"/>
      <c r="B104" s="219"/>
      <c r="C104" s="203"/>
      <c r="D104" s="219"/>
      <c r="E104" s="234"/>
      <c r="F104" s="220"/>
      <c r="G104" s="219"/>
      <c r="H104" s="223"/>
    </row>
    <row r="105" spans="1:10" ht="16.5" customHeight="1">
      <c r="A105" s="219"/>
      <c r="B105" s="219"/>
      <c r="C105" s="203"/>
      <c r="D105" s="219"/>
      <c r="E105" s="235"/>
      <c r="F105" s="202"/>
      <c r="G105" s="219"/>
      <c r="H105" s="223"/>
    </row>
    <row r="106" spans="1:10" ht="16.5" customHeight="1">
      <c r="A106" s="219"/>
      <c r="B106" s="219"/>
      <c r="C106" s="203"/>
      <c r="D106" s="203"/>
      <c r="E106" s="235"/>
      <c r="F106" s="202"/>
      <c r="G106" s="219"/>
      <c r="H106" s="223"/>
    </row>
    <row r="107" spans="1:10" ht="16.5" customHeight="1">
      <c r="A107" s="219"/>
      <c r="B107" s="219"/>
      <c r="C107" s="203"/>
      <c r="D107" s="203"/>
      <c r="E107" s="235"/>
      <c r="F107" s="202"/>
      <c r="G107" s="219"/>
      <c r="H107" s="223"/>
    </row>
    <row r="108" spans="1:10" ht="16.5" customHeight="1">
      <c r="A108" s="219"/>
      <c r="B108" s="219"/>
      <c r="C108" s="203"/>
      <c r="D108" s="203"/>
      <c r="E108" s="235"/>
      <c r="F108" s="202"/>
      <c r="G108" s="219"/>
      <c r="H108" s="223"/>
      <c r="J108" s="160" t="s">
        <v>79</v>
      </c>
    </row>
    <row r="109" spans="1:10" ht="16.5" customHeight="1">
      <c r="A109" s="219"/>
      <c r="B109" s="219"/>
      <c r="C109" s="203"/>
      <c r="D109" s="203"/>
      <c r="E109" s="235"/>
      <c r="F109" s="202"/>
      <c r="G109" s="219"/>
      <c r="H109" s="223"/>
      <c r="J109" s="160" t="s">
        <v>80</v>
      </c>
    </row>
    <row r="110" spans="1:10" ht="16.5" customHeight="1">
      <c r="A110" s="219"/>
      <c r="B110" s="219"/>
      <c r="C110" s="203"/>
      <c r="D110" s="203"/>
      <c r="E110" s="235"/>
      <c r="F110" s="202"/>
      <c r="G110" s="219"/>
      <c r="H110" s="223"/>
    </row>
    <row r="111" spans="1:10" ht="16.5" customHeight="1">
      <c r="A111" s="219"/>
      <c r="B111" s="219"/>
      <c r="C111" s="203"/>
      <c r="D111" s="203"/>
      <c r="E111" s="235"/>
      <c r="F111" s="202"/>
      <c r="G111" s="219"/>
      <c r="H111" s="223"/>
    </row>
    <row r="112" spans="1:10" ht="16.5" customHeight="1">
      <c r="A112" s="219"/>
      <c r="B112" s="219"/>
      <c r="C112" s="203"/>
      <c r="D112" s="219"/>
      <c r="E112" s="234"/>
      <c r="F112" s="220"/>
      <c r="G112" s="219"/>
      <c r="H112" s="219"/>
    </row>
    <row r="113" spans="1:10" ht="16.5" customHeight="1">
      <c r="A113" s="219"/>
      <c r="B113" s="219"/>
      <c r="C113" s="203"/>
      <c r="D113" s="219"/>
      <c r="E113" s="234"/>
      <c r="F113" s="220"/>
      <c r="G113" s="219"/>
      <c r="H113" s="219"/>
    </row>
    <row r="114" spans="1:10" ht="16.5" customHeight="1">
      <c r="A114" s="219"/>
      <c r="B114" s="219"/>
      <c r="C114" s="203"/>
      <c r="D114" s="219"/>
      <c r="E114" s="234"/>
      <c r="F114" s="220"/>
      <c r="G114" s="219"/>
      <c r="H114" s="219"/>
      <c r="J114" s="160" t="s">
        <v>69</v>
      </c>
    </row>
    <row r="115" spans="1:10" ht="16.5" customHeight="1">
      <c r="A115" s="219"/>
      <c r="B115" s="219"/>
      <c r="C115" s="203"/>
      <c r="D115" s="219"/>
      <c r="E115" s="234"/>
      <c r="F115" s="220"/>
      <c r="G115" s="219"/>
      <c r="H115" s="219"/>
      <c r="J115" s="165" t="s">
        <v>92</v>
      </c>
    </row>
    <row r="116" spans="1:10" ht="16.5" customHeight="1">
      <c r="A116" s="219"/>
      <c r="B116" s="219"/>
      <c r="C116" s="203"/>
      <c r="D116" s="219"/>
      <c r="E116" s="234"/>
      <c r="F116" s="220"/>
      <c r="G116" s="219"/>
      <c r="H116" s="219"/>
    </row>
    <row r="117" spans="1:10" ht="16.5" customHeight="1">
      <c r="A117" s="219"/>
      <c r="B117" s="219"/>
      <c r="C117" s="203"/>
      <c r="D117" s="203"/>
      <c r="E117" s="235"/>
      <c r="F117" s="202"/>
      <c r="G117" s="203"/>
      <c r="H117" s="203"/>
    </row>
    <row r="118" spans="1:10" ht="16.5" customHeight="1">
      <c r="A118" s="219"/>
      <c r="B118" s="203"/>
      <c r="C118" s="203"/>
      <c r="D118" s="203"/>
      <c r="E118" s="235"/>
      <c r="F118" s="202"/>
      <c r="G118" s="203"/>
      <c r="H118" s="203"/>
    </row>
    <row r="119" spans="1:10" ht="16.5" customHeight="1">
      <c r="A119" s="219"/>
      <c r="B119" s="203"/>
      <c r="C119" s="203"/>
      <c r="D119" s="221"/>
      <c r="E119" s="221"/>
      <c r="F119" s="221"/>
      <c r="G119" s="221"/>
      <c r="H119" s="221"/>
    </row>
    <row r="120" spans="1:10" ht="16.5" customHeight="1">
      <c r="A120" s="219"/>
      <c r="B120" s="219"/>
      <c r="C120" s="203"/>
      <c r="D120" s="222"/>
      <c r="E120" s="243"/>
      <c r="F120" s="221"/>
      <c r="G120" s="222"/>
      <c r="H120" s="222"/>
    </row>
    <row r="121" spans="1:10" ht="16.5" customHeight="1">
      <c r="A121" s="219"/>
      <c r="B121" s="222"/>
      <c r="C121" s="203"/>
      <c r="D121" s="222"/>
      <c r="E121" s="243"/>
      <c r="F121" s="221"/>
      <c r="G121" s="222"/>
      <c r="H121" s="222"/>
    </row>
    <row r="122" spans="1:10" ht="16.5" customHeight="1">
      <c r="A122" s="219"/>
      <c r="B122" s="222"/>
      <c r="C122" s="203"/>
      <c r="D122" s="219"/>
      <c r="E122" s="234"/>
      <c r="F122" s="220"/>
      <c r="G122" s="219"/>
      <c r="H122" s="223"/>
    </row>
    <row r="123" spans="1:10" ht="16.5" customHeight="1">
      <c r="A123" s="219"/>
      <c r="B123" s="219"/>
      <c r="C123" s="203"/>
      <c r="D123" s="224"/>
      <c r="E123" s="234"/>
      <c r="F123" s="220"/>
      <c r="G123" s="219"/>
      <c r="H123" s="223"/>
    </row>
    <row r="124" spans="1:10" ht="16.5" customHeight="1">
      <c r="A124" s="219"/>
      <c r="B124" s="219"/>
      <c r="C124" s="203"/>
      <c r="D124" s="219"/>
      <c r="E124" s="234"/>
      <c r="F124" s="220"/>
      <c r="G124" s="219"/>
      <c r="H124" s="223"/>
    </row>
    <row r="125" spans="1:10" ht="16.5" customHeight="1">
      <c r="A125" s="219"/>
      <c r="B125" s="219"/>
      <c r="C125" s="203"/>
      <c r="D125" s="219"/>
      <c r="E125" s="234"/>
      <c r="F125" s="220"/>
      <c r="G125" s="219"/>
      <c r="H125" s="223"/>
    </row>
    <row r="126" spans="1:10" ht="16.5" customHeight="1">
      <c r="A126" s="219"/>
      <c r="B126" s="219"/>
      <c r="C126" s="203"/>
      <c r="D126" s="224"/>
      <c r="E126" s="234"/>
      <c r="F126" s="220"/>
      <c r="G126" s="219"/>
      <c r="H126" s="223"/>
    </row>
    <row r="127" spans="1:10" ht="16.5" customHeight="1">
      <c r="A127" s="219"/>
      <c r="B127" s="219"/>
      <c r="C127" s="203"/>
      <c r="D127" s="219"/>
      <c r="E127" s="234"/>
      <c r="F127" s="220"/>
      <c r="G127" s="219"/>
      <c r="H127" s="219"/>
    </row>
    <row r="128" spans="1:10" ht="16.5" customHeight="1">
      <c r="A128" s="219"/>
      <c r="B128" s="219"/>
      <c r="C128" s="203"/>
      <c r="D128" s="219"/>
      <c r="E128" s="234"/>
      <c r="F128" s="220"/>
      <c r="G128" s="219"/>
      <c r="H128" s="219"/>
    </row>
    <row r="129" spans="1:8" ht="16.5" customHeight="1">
      <c r="A129" s="219"/>
      <c r="B129" s="219"/>
      <c r="C129" s="203"/>
      <c r="D129" s="219"/>
      <c r="E129" s="234"/>
      <c r="F129" s="225"/>
      <c r="G129" s="219"/>
      <c r="H129" s="219"/>
    </row>
    <row r="130" spans="1:8" ht="16.5" customHeight="1">
      <c r="A130" s="219"/>
      <c r="B130" s="219"/>
      <c r="C130" s="203"/>
      <c r="D130" s="224"/>
      <c r="E130" s="234"/>
      <c r="F130" s="220"/>
      <c r="G130" s="219"/>
      <c r="H130" s="219"/>
    </row>
    <row r="131" spans="1:8" ht="16.5" customHeight="1">
      <c r="A131" s="219"/>
      <c r="B131" s="219"/>
      <c r="C131" s="203"/>
      <c r="D131" s="224"/>
      <c r="E131" s="234"/>
      <c r="F131" s="220"/>
      <c r="G131" s="219"/>
      <c r="H131" s="219"/>
    </row>
    <row r="132" spans="1:8" ht="16.5" customHeight="1">
      <c r="A132" s="219"/>
      <c r="B132" s="219"/>
      <c r="C132" s="203"/>
      <c r="D132" s="219"/>
      <c r="E132" s="234"/>
      <c r="F132" s="220"/>
      <c r="G132" s="219"/>
      <c r="H132" s="219"/>
    </row>
    <row r="133" spans="1:8" ht="16.5" customHeight="1">
      <c r="A133" s="219"/>
      <c r="B133" s="219"/>
      <c r="C133" s="203"/>
      <c r="D133" s="219"/>
      <c r="E133" s="234"/>
      <c r="F133" s="220"/>
      <c r="G133" s="219"/>
      <c r="H133" s="219"/>
    </row>
    <row r="134" spans="1:8" ht="16.5" customHeight="1">
      <c r="A134" s="219"/>
      <c r="B134" s="219"/>
      <c r="C134" s="203"/>
      <c r="D134" s="219"/>
      <c r="E134" s="234"/>
      <c r="F134" s="220"/>
      <c r="G134" s="219"/>
      <c r="H134" s="219"/>
    </row>
    <row r="135" spans="1:8" ht="16.5" customHeight="1">
      <c r="A135" s="219"/>
      <c r="B135" s="219"/>
      <c r="C135" s="203"/>
      <c r="D135" s="219"/>
      <c r="E135" s="234"/>
      <c r="F135" s="220"/>
      <c r="G135" s="219"/>
      <c r="H135" s="219"/>
    </row>
    <row r="136" spans="1:8" ht="16.5" customHeight="1">
      <c r="A136" s="219"/>
      <c r="B136" s="219"/>
      <c r="C136" s="203"/>
      <c r="D136" s="219"/>
      <c r="E136" s="234"/>
      <c r="F136" s="220"/>
      <c r="G136" s="219"/>
      <c r="H136" s="223"/>
    </row>
    <row r="137" spans="1:8" ht="16.5" customHeight="1">
      <c r="A137" s="219"/>
      <c r="B137" s="219"/>
      <c r="C137" s="203"/>
      <c r="D137" s="219"/>
      <c r="E137" s="235"/>
      <c r="F137" s="202"/>
      <c r="G137" s="219"/>
      <c r="H137" s="223"/>
    </row>
    <row r="138" spans="1:8" ht="16.5" customHeight="1">
      <c r="A138" s="219"/>
      <c r="B138" s="219"/>
      <c r="C138" s="203"/>
      <c r="D138" s="203"/>
      <c r="E138" s="235"/>
      <c r="F138" s="202"/>
      <c r="G138" s="219"/>
      <c r="H138" s="223"/>
    </row>
    <row r="139" spans="1:8" ht="16.5" customHeight="1">
      <c r="A139" s="219"/>
      <c r="B139" s="219"/>
      <c r="C139" s="203"/>
      <c r="D139" s="203"/>
      <c r="E139" s="235"/>
      <c r="F139" s="202"/>
      <c r="G139" s="219"/>
      <c r="H139" s="223"/>
    </row>
    <row r="140" spans="1:8" ht="16.5" customHeight="1">
      <c r="A140" s="219"/>
      <c r="B140" s="219"/>
      <c r="C140" s="203"/>
      <c r="D140" s="203"/>
      <c r="E140" s="235"/>
      <c r="F140" s="202"/>
      <c r="G140" s="219"/>
      <c r="H140" s="223"/>
    </row>
    <row r="141" spans="1:8" ht="16.5" customHeight="1">
      <c r="A141" s="219"/>
      <c r="B141" s="219"/>
      <c r="C141" s="203"/>
      <c r="D141" s="203"/>
      <c r="E141" s="235"/>
      <c r="F141" s="202"/>
      <c r="G141" s="219"/>
      <c r="H141" s="223"/>
    </row>
    <row r="142" spans="1:8" ht="16.5" customHeight="1">
      <c r="A142" s="219"/>
      <c r="B142" s="219"/>
      <c r="C142" s="203"/>
      <c r="D142" s="203"/>
      <c r="E142" s="235"/>
      <c r="F142" s="202"/>
      <c r="G142" s="219"/>
      <c r="H142" s="223"/>
    </row>
    <row r="143" spans="1:8" ht="16.5" customHeight="1">
      <c r="A143" s="219"/>
      <c r="B143" s="219"/>
      <c r="C143" s="203"/>
      <c r="D143" s="203"/>
      <c r="E143" s="235"/>
      <c r="F143" s="202"/>
      <c r="G143" s="219"/>
      <c r="H143" s="223"/>
    </row>
    <row r="144" spans="1:8" ht="16.5" customHeight="1">
      <c r="A144" s="219"/>
      <c r="B144" s="219"/>
      <c r="C144" s="203"/>
      <c r="D144" s="219"/>
      <c r="E144" s="234"/>
      <c r="F144" s="220"/>
      <c r="G144" s="219"/>
      <c r="H144" s="219"/>
    </row>
    <row r="145" spans="1:8" ht="16.5" customHeight="1">
      <c r="A145" s="219"/>
      <c r="B145" s="219"/>
      <c r="C145" s="203"/>
      <c r="D145" s="219"/>
      <c r="E145" s="234"/>
      <c r="F145" s="220"/>
      <c r="G145" s="219"/>
      <c r="H145" s="219"/>
    </row>
    <row r="146" spans="1:8" ht="16.5" customHeight="1">
      <c r="A146" s="219"/>
      <c r="B146" s="219"/>
      <c r="C146" s="203"/>
      <c r="D146" s="219"/>
      <c r="E146" s="234"/>
      <c r="F146" s="220"/>
      <c r="G146" s="219"/>
      <c r="H146" s="219"/>
    </row>
    <row r="147" spans="1:8" ht="16.5" customHeight="1">
      <c r="A147" s="219"/>
      <c r="B147" s="219"/>
      <c r="C147" s="203"/>
      <c r="D147" s="219"/>
      <c r="E147" s="234"/>
      <c r="F147" s="220"/>
      <c r="G147" s="219"/>
      <c r="H147" s="219"/>
    </row>
    <row r="148" spans="1:8" ht="16.5" customHeight="1">
      <c r="A148" s="219"/>
      <c r="B148" s="219"/>
      <c r="C148" s="203"/>
      <c r="D148" s="219"/>
      <c r="E148" s="234"/>
      <c r="F148" s="220"/>
      <c r="G148" s="219"/>
      <c r="H148" s="219"/>
    </row>
    <row r="149" spans="1:8" ht="16.5" customHeight="1">
      <c r="C149" s="219"/>
      <c r="D149" s="219"/>
      <c r="E149" s="234"/>
      <c r="F149" s="220"/>
      <c r="G149" s="219"/>
      <c r="H149" s="219"/>
    </row>
  </sheetData>
  <dataConsolidate/>
  <mergeCells count="42">
    <mergeCell ref="B2:B22"/>
    <mergeCell ref="C80:C82"/>
    <mergeCell ref="E37:E38"/>
    <mergeCell ref="H37:H38"/>
    <mergeCell ref="C8:C9"/>
    <mergeCell ref="G70:G71"/>
    <mergeCell ref="C74:C75"/>
    <mergeCell ref="C68:H69"/>
    <mergeCell ref="D70:D71"/>
    <mergeCell ref="E70:E71"/>
    <mergeCell ref="H70:H71"/>
    <mergeCell ref="C11:C12"/>
    <mergeCell ref="C14:C16"/>
    <mergeCell ref="C18:C19"/>
    <mergeCell ref="C21:C22"/>
    <mergeCell ref="C54:C55"/>
    <mergeCell ref="C2:H3"/>
    <mergeCell ref="H4:H5"/>
    <mergeCell ref="F37:F38"/>
    <mergeCell ref="G37:G38"/>
    <mergeCell ref="C4:C5"/>
    <mergeCell ref="C6:C7"/>
    <mergeCell ref="D4:D5"/>
    <mergeCell ref="E4:E5"/>
    <mergeCell ref="F4:F5"/>
    <mergeCell ref="G4:G5"/>
    <mergeCell ref="C35:H36"/>
    <mergeCell ref="C37:C38"/>
    <mergeCell ref="D37:D38"/>
    <mergeCell ref="B35:B55"/>
    <mergeCell ref="B68:B88"/>
    <mergeCell ref="C84:C85"/>
    <mergeCell ref="C87:C88"/>
    <mergeCell ref="F70:F71"/>
    <mergeCell ref="C77:C78"/>
    <mergeCell ref="C70:C71"/>
    <mergeCell ref="C72:C73"/>
    <mergeCell ref="C39:C40"/>
    <mergeCell ref="C41:C42"/>
    <mergeCell ref="C44:C45"/>
    <mergeCell ref="C47:C49"/>
    <mergeCell ref="C51:C52"/>
  </mergeCells>
  <dataValidations count="9">
    <dataValidation type="list" allowBlank="1" showInputMessage="1" showErrorMessage="1" sqref="C6:C7 C39:C40 C100:C101 C72:C73">
      <formula1>$J$82:$J$83</formula1>
    </dataValidation>
    <dataValidation type="list" allowBlank="1" showInputMessage="1" showErrorMessage="1" sqref="D10 D43 D126 D76">
      <formula1>$J$114:$J$115</formula1>
    </dataValidation>
    <dataValidation type="list" allowBlank="1" showInputMessage="1" showErrorMessage="1" sqref="D7 D40 D123 D73">
      <formula1>$J$108:$J$109</formula1>
    </dataValidation>
    <dataValidation type="list" showInputMessage="1" showErrorMessage="1" sqref="D130 D47 D14 D66 D80">
      <formula1>$J$102:$J$103</formula1>
    </dataValidation>
    <dataValidation type="list" allowBlank="1" showInputMessage="1" showErrorMessage="1" sqref="D16 D49 D131 D99 D82">
      <formula1>$J$95:$J$96</formula1>
    </dataValidation>
    <dataValidation type="list" showInputMessage="1" showErrorMessage="1" sqref="D141 D109">
      <formula1>$J$76:$J$77</formula1>
    </dataValidation>
    <dataValidation type="list" allowBlank="1" showInputMessage="1" showErrorMessage="1" sqref="C8:C9 C41:C42 C74:C75">
      <formula1>$J$85:$J$86</formula1>
    </dataValidation>
    <dataValidation showInputMessage="1" showErrorMessage="1" sqref="D24 D15 D57 D48 D90 D81"/>
    <dataValidation type="list" allowBlank="1" showInputMessage="1" showErrorMessage="1" sqref="D17 D50 D83">
      <formula1>$J$79:$J$81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3:P209"/>
  <sheetViews>
    <sheetView rightToLeft="1" zoomScaleNormal="100" workbookViewId="0">
      <selection activeCell="C22" sqref="C22"/>
    </sheetView>
  </sheetViews>
  <sheetFormatPr defaultColWidth="9.09765625" defaultRowHeight="16.5" customHeight="1"/>
  <cols>
    <col min="1" max="1" width="7" style="297" customWidth="1"/>
    <col min="2" max="2" width="13.19921875" style="297" bestFit="1" customWidth="1"/>
    <col min="3" max="3" width="18.3984375" style="216" customWidth="1"/>
    <col min="4" max="4" width="20.59765625" style="296" bestFit="1" customWidth="1"/>
    <col min="5" max="5" width="8.09765625" style="216" customWidth="1"/>
    <col min="6" max="6" width="7.19921875" style="216" customWidth="1"/>
    <col min="7" max="7" width="8.3984375" style="216" bestFit="1" customWidth="1"/>
    <col min="8" max="8" width="15.3984375" style="297" bestFit="1" customWidth="1"/>
    <col min="9" max="9" width="13.09765625" style="297" customWidth="1"/>
    <col min="10" max="10" width="16" style="297" hidden="1" customWidth="1"/>
    <col min="11" max="11" width="11.59765625" style="363" customWidth="1"/>
    <col min="12" max="12" width="14.8984375" style="321" customWidth="1"/>
    <col min="13" max="13" width="19.59765625" style="236" customWidth="1"/>
    <col min="14" max="14" width="20" style="236" customWidth="1"/>
    <col min="15" max="15" width="9.09765625" style="367"/>
    <col min="16" max="16" width="13.3984375" style="321" bestFit="1" customWidth="1"/>
    <col min="17" max="17" width="13.8984375" style="297" customWidth="1"/>
    <col min="18" max="18" width="9.09765625" style="297"/>
    <col min="19" max="19" width="11.69921875" style="297" customWidth="1"/>
    <col min="20" max="16384" width="9.09765625" style="297"/>
  </cols>
  <sheetData>
    <row r="3" spans="2:16" ht="16.5" customHeight="1" thickBot="1">
      <c r="K3" s="364" t="s">
        <v>179</v>
      </c>
      <c r="L3" s="298" t="s">
        <v>16</v>
      </c>
      <c r="M3" s="233" t="s">
        <v>59</v>
      </c>
      <c r="N3" s="299" t="s">
        <v>9</v>
      </c>
      <c r="O3" s="321"/>
      <c r="P3" s="297"/>
    </row>
    <row r="4" spans="2:16" ht="16.5" customHeight="1" thickBot="1">
      <c r="B4" s="724"/>
      <c r="C4" s="726" t="s">
        <v>543</v>
      </c>
      <c r="D4" s="727"/>
      <c r="E4" s="727"/>
      <c r="F4" s="727"/>
      <c r="G4" s="727"/>
      <c r="H4" s="728"/>
      <c r="K4" s="364">
        <v>2363</v>
      </c>
      <c r="L4" s="300" t="s">
        <v>7</v>
      </c>
      <c r="M4" s="234" t="s">
        <v>55</v>
      </c>
      <c r="N4" s="634">
        <f>SUMIF($D$7:$D$105,טבלה1[[#This Row],[מוצר]],$G$7:$G$105)</f>
        <v>0</v>
      </c>
      <c r="O4" s="321"/>
      <c r="P4" s="297"/>
    </row>
    <row r="5" spans="2:16" ht="16.5" customHeight="1">
      <c r="B5" s="725"/>
      <c r="C5" s="729" t="s">
        <v>532</v>
      </c>
      <c r="D5" s="731" t="s">
        <v>16</v>
      </c>
      <c r="E5" s="720" t="s">
        <v>47</v>
      </c>
      <c r="F5" s="720" t="s">
        <v>10</v>
      </c>
      <c r="G5" s="720" t="s">
        <v>9</v>
      </c>
      <c r="H5" s="733" t="s">
        <v>42</v>
      </c>
      <c r="K5" s="364">
        <v>9530</v>
      </c>
      <c r="L5" s="300" t="s">
        <v>5</v>
      </c>
      <c r="M5" s="234" t="s">
        <v>560</v>
      </c>
      <c r="N5" s="634">
        <f>SUMIF($D$7:$D$105,טבלה1[[#This Row],[מוצר]],$G$7:$G$105)</f>
        <v>0</v>
      </c>
      <c r="O5" s="321"/>
      <c r="P5" s="297"/>
    </row>
    <row r="6" spans="2:16" ht="14.25" customHeight="1" thickBot="1">
      <c r="B6" s="725"/>
      <c r="C6" s="730"/>
      <c r="D6" s="732"/>
      <c r="E6" s="721"/>
      <c r="F6" s="721"/>
      <c r="G6" s="721"/>
      <c r="H6" s="734"/>
      <c r="K6" s="364">
        <v>11779</v>
      </c>
      <c r="L6" s="300" t="s">
        <v>546</v>
      </c>
      <c r="M6" s="234" t="s">
        <v>8</v>
      </c>
      <c r="N6" s="634">
        <f>SUMIF($D$7:$D$105,טבלה1[[#This Row],[מוצר]],$G$7:$G$105)</f>
        <v>0</v>
      </c>
      <c r="O6" s="321"/>
      <c r="P6" s="297"/>
    </row>
    <row r="7" spans="2:16" ht="17.25" customHeight="1">
      <c r="B7" s="725"/>
      <c r="C7" s="735" t="s">
        <v>122</v>
      </c>
      <c r="D7" s="301" t="s">
        <v>7</v>
      </c>
      <c r="E7" s="244" t="s">
        <v>55</v>
      </c>
      <c r="F7" s="244">
        <f>1/100</f>
        <v>0.01</v>
      </c>
      <c r="G7" s="244">
        <f>ROUNDUP(C10*F7,0)*C19</f>
        <v>0</v>
      </c>
      <c r="H7" s="302"/>
      <c r="K7" s="364">
        <v>5835</v>
      </c>
      <c r="L7" s="300" t="s">
        <v>545</v>
      </c>
      <c r="M7" s="234" t="s">
        <v>915</v>
      </c>
      <c r="N7" s="634">
        <f>SUMIF($D$7:$D$105,טבלה1[[#This Row],[מוצר]],$G$7:$G$105)</f>
        <v>0</v>
      </c>
      <c r="O7" s="321"/>
      <c r="P7" s="297"/>
    </row>
    <row r="8" spans="2:16" ht="16.5" customHeight="1" thickBot="1">
      <c r="B8" s="725"/>
      <c r="C8" s="736"/>
      <c r="D8" s="303" t="s">
        <v>5</v>
      </c>
      <c r="E8" s="238" t="s">
        <v>55</v>
      </c>
      <c r="F8" s="238">
        <f>1/75</f>
        <v>1.3333333333333334E-2</v>
      </c>
      <c r="G8" s="238">
        <f>ROUNDUP(C10*F8,0)*C19</f>
        <v>0</v>
      </c>
      <c r="H8" s="304"/>
      <c r="K8" s="364">
        <v>3883</v>
      </c>
      <c r="L8" s="300" t="s">
        <v>88</v>
      </c>
      <c r="M8" s="234" t="s">
        <v>916</v>
      </c>
      <c r="N8" s="634">
        <f>SUMIF($D$7:$D$105,טבלה1[[#This Row],[מוצר]],$G$7:$G$105)</f>
        <v>0</v>
      </c>
      <c r="O8" s="321"/>
      <c r="P8" s="297"/>
    </row>
    <row r="9" spans="2:16" ht="16.5" customHeight="1" thickBot="1">
      <c r="B9" s="725"/>
      <c r="C9" s="305" t="s">
        <v>36</v>
      </c>
      <c r="D9" s="306" t="s">
        <v>546</v>
      </c>
      <c r="E9" s="238" t="str">
        <f>IF(D9=J100,"1 קג",IF(D9=J101,"960 גרם","100 גרם"))</f>
        <v>1 קג</v>
      </c>
      <c r="F9" s="238">
        <f>IF(D9=J100,25,IF(D9=J101,50,2.5))</f>
        <v>25</v>
      </c>
      <c r="G9" s="238">
        <f>ROUNDUP(C10/F9,0)*C19</f>
        <v>0</v>
      </c>
      <c r="H9" s="307"/>
      <c r="K9" s="364">
        <v>4111</v>
      </c>
      <c r="L9" s="300" t="s">
        <v>547</v>
      </c>
      <c r="M9" s="234" t="s">
        <v>43</v>
      </c>
      <c r="N9" s="634">
        <f>SUMIF($D$7:$D$105,טבלה1[[#This Row],[מוצר]],$G$7:$G$105)</f>
        <v>0</v>
      </c>
      <c r="O9" s="321"/>
      <c r="P9" s="297"/>
    </row>
    <row r="10" spans="2:16" ht="16.5" customHeight="1">
      <c r="B10" s="725"/>
      <c r="C10" s="684"/>
      <c r="D10" s="308" t="s">
        <v>508</v>
      </c>
      <c r="E10" s="238" t="str">
        <f>IF(D10=J78,"2 קג","400 גרם")</f>
        <v>400 גרם</v>
      </c>
      <c r="F10" s="238">
        <f>1/25</f>
        <v>0.04</v>
      </c>
      <c r="G10" s="238">
        <f>IF(D10=J78,ROUNDUP(C10*F10,0),ROUNDUP((C10-C13)*F10,0))*C19</f>
        <v>0</v>
      </c>
      <c r="H10" s="307"/>
      <c r="K10" s="364">
        <v>7819</v>
      </c>
      <c r="L10" s="300" t="s">
        <v>508</v>
      </c>
      <c r="M10" s="234" t="s">
        <v>44</v>
      </c>
      <c r="N10" s="634">
        <f>SUMIF($D$7:$D$105,טבלה1[[#This Row],[מוצר]],$G$7:$G$105)</f>
        <v>0</v>
      </c>
      <c r="O10" s="321"/>
      <c r="P10" s="297"/>
    </row>
    <row r="11" spans="2:16" ht="16.5" customHeight="1" thickBot="1">
      <c r="B11" s="725"/>
      <c r="C11" s="686"/>
      <c r="D11" s="309" t="s">
        <v>515</v>
      </c>
      <c r="E11" s="238" t="s">
        <v>60</v>
      </c>
      <c r="F11" s="238">
        <f>1/40</f>
        <v>2.5000000000000001E-2</v>
      </c>
      <c r="G11" s="238">
        <f>IF(D10=J78,0,ROUNDUP((C10-C13)*F11,0)*C19)</f>
        <v>0</v>
      </c>
      <c r="H11" s="307"/>
      <c r="K11" s="364">
        <v>7853</v>
      </c>
      <c r="L11" s="300" t="s">
        <v>515</v>
      </c>
      <c r="M11" s="234" t="s">
        <v>44</v>
      </c>
      <c r="N11" s="634">
        <f>SUMIF($D$7:$D$105,טבלה1[[#This Row],[מוצר]],$G$7:$G$105)</f>
        <v>0</v>
      </c>
      <c r="O11" s="321"/>
      <c r="P11" s="297"/>
    </row>
    <row r="12" spans="2:16" ht="16.5" customHeight="1" thickBot="1">
      <c r="B12" s="725"/>
      <c r="C12" s="310" t="s">
        <v>806</v>
      </c>
      <c r="D12" s="303" t="s">
        <v>3</v>
      </c>
      <c r="E12" s="238" t="s">
        <v>8</v>
      </c>
      <c r="F12" s="238">
        <v>0.03</v>
      </c>
      <c r="G12" s="238">
        <f>ROUNDUP(C10*F12,0)*C19</f>
        <v>0</v>
      </c>
      <c r="H12" s="304"/>
      <c r="K12" s="364">
        <v>607</v>
      </c>
      <c r="L12" s="300" t="s">
        <v>3</v>
      </c>
      <c r="M12" s="234" t="s">
        <v>8</v>
      </c>
      <c r="N12" s="634">
        <f>SUMIF($D$7:$D$105,טבלה1[[#This Row],[מוצר]],$G$7:$G$105)</f>
        <v>0</v>
      </c>
      <c r="O12" s="321"/>
      <c r="P12" s="297"/>
    </row>
    <row r="13" spans="2:16" ht="16.5" customHeight="1">
      <c r="B13" s="725"/>
      <c r="C13" s="685"/>
      <c r="D13" s="303" t="s">
        <v>2</v>
      </c>
      <c r="E13" s="238" t="s">
        <v>8</v>
      </c>
      <c r="F13" s="238">
        <v>0.02</v>
      </c>
      <c r="G13" s="238">
        <f>ROUNDUP(C10*F13,0)*C19</f>
        <v>0</v>
      </c>
      <c r="H13" s="304"/>
      <c r="K13" s="364">
        <v>3</v>
      </c>
      <c r="L13" s="300" t="s">
        <v>2</v>
      </c>
      <c r="M13" s="234" t="s">
        <v>8</v>
      </c>
      <c r="N13" s="634">
        <f>SUMIF($D$7:$D$105,טבלה1[[#This Row],[מוצר]],$G$7:$G$105)</f>
        <v>0</v>
      </c>
      <c r="O13" s="321"/>
      <c r="P13" s="297"/>
    </row>
    <row r="14" spans="2:16" ht="16.5" customHeight="1" thickBot="1">
      <c r="B14" s="725"/>
      <c r="C14" s="686"/>
      <c r="D14" s="303" t="s">
        <v>913</v>
      </c>
      <c r="E14" s="238" t="s">
        <v>6</v>
      </c>
      <c r="F14" s="238">
        <v>3</v>
      </c>
      <c r="G14" s="238">
        <f>ROUNDUP(C10/F14,0)*C19</f>
        <v>0</v>
      </c>
      <c r="H14" s="307"/>
      <c r="K14" s="364">
        <v>2216</v>
      </c>
      <c r="L14" s="300" t="s">
        <v>917</v>
      </c>
      <c r="M14" s="234" t="s">
        <v>62</v>
      </c>
      <c r="N14" s="634">
        <f>SUMIF($D$7:$D$105,טבלה1[[#This Row],[מוצר]],$G$7:$G$105)</f>
        <v>0</v>
      </c>
      <c r="O14" s="321"/>
      <c r="P14" s="297"/>
    </row>
    <row r="15" spans="2:16" ht="16.5" customHeight="1" thickBot="1">
      <c r="B15" s="725"/>
      <c r="C15" s="305" t="s">
        <v>77</v>
      </c>
      <c r="D15" s="303" t="s">
        <v>91</v>
      </c>
      <c r="E15" s="238" t="s">
        <v>60</v>
      </c>
      <c r="F15" s="238">
        <v>50</v>
      </c>
      <c r="G15" s="238">
        <f>ROUNDUP(C10/F15,0)*C19</f>
        <v>0</v>
      </c>
      <c r="H15" s="307"/>
      <c r="K15" s="364">
        <v>2647</v>
      </c>
      <c r="L15" s="300" t="s">
        <v>91</v>
      </c>
      <c r="M15" s="234" t="s">
        <v>60</v>
      </c>
      <c r="N15" s="634">
        <f>SUMIF($D$7:$D$105,טבלה1[[#This Row],[מוצר]],$G$7:$G$105)</f>
        <v>0</v>
      </c>
      <c r="O15" s="321"/>
      <c r="P15" s="297"/>
    </row>
    <row r="16" spans="2:16" ht="16.5" customHeight="1">
      <c r="B16" s="725"/>
      <c r="C16" s="684"/>
      <c r="D16" s="303" t="s">
        <v>41</v>
      </c>
      <c r="E16" s="238" t="s">
        <v>44</v>
      </c>
      <c r="F16" s="238">
        <v>10</v>
      </c>
      <c r="G16" s="238">
        <f>ROUNDUP(C10/F16,0)*C19</f>
        <v>0</v>
      </c>
      <c r="H16" s="307"/>
      <c r="K16" s="364">
        <v>2648</v>
      </c>
      <c r="L16" s="300" t="s">
        <v>517</v>
      </c>
      <c r="M16" s="234" t="s">
        <v>44</v>
      </c>
      <c r="N16" s="634">
        <f>SUMIF($D$7:$D$105,טבלה1[[#This Row],[מוצר]],$G$7:$G$105)</f>
        <v>0</v>
      </c>
      <c r="O16" s="321"/>
      <c r="P16" s="297"/>
    </row>
    <row r="17" spans="1:16" ht="16.5" customHeight="1" thickBot="1">
      <c r="B17" s="725"/>
      <c r="C17" s="686"/>
      <c r="D17" s="303" t="s">
        <v>517</v>
      </c>
      <c r="E17" s="238" t="s">
        <v>919</v>
      </c>
      <c r="F17" s="238">
        <v>50</v>
      </c>
      <c r="G17" s="238">
        <f>ROUNDUP(C10/F17,0)*C19</f>
        <v>0</v>
      </c>
      <c r="H17" s="307"/>
      <c r="K17" s="364">
        <v>6975</v>
      </c>
      <c r="L17" s="300" t="s">
        <v>41</v>
      </c>
      <c r="M17" s="234" t="s">
        <v>44</v>
      </c>
      <c r="N17" s="634">
        <f>SUMIF($D$7:$D$105,טבלה1[[#This Row],[מוצר]],$G$7:$G$105)</f>
        <v>0</v>
      </c>
      <c r="O17" s="321"/>
      <c r="P17" s="297"/>
    </row>
    <row r="18" spans="1:16" ht="16.5" customHeight="1" thickBot="1">
      <c r="B18" s="725"/>
      <c r="C18" s="311" t="s">
        <v>541</v>
      </c>
      <c r="D18" s="312" t="s">
        <v>0</v>
      </c>
      <c r="E18" s="240" t="s">
        <v>60</v>
      </c>
      <c r="F18" s="240">
        <v>0.05</v>
      </c>
      <c r="G18" s="238">
        <f>ROUNDUP((F18*C13)*1000/400,0)*C19</f>
        <v>0</v>
      </c>
      <c r="H18" s="313"/>
      <c r="K18" s="364">
        <v>397</v>
      </c>
      <c r="L18" s="300" t="s">
        <v>544</v>
      </c>
      <c r="M18" s="234" t="s">
        <v>8</v>
      </c>
      <c r="N18" s="634">
        <f>SUMIF($D$7:$D$105,טבלה1[[#This Row],[מוצר]],$G$7:$G$105)</f>
        <v>0</v>
      </c>
      <c r="O18" s="321"/>
      <c r="P18" s="297"/>
    </row>
    <row r="19" spans="1:16" ht="16.5" customHeight="1">
      <c r="B19" s="725"/>
      <c r="C19" s="684"/>
      <c r="D19" s="314" t="s">
        <v>79</v>
      </c>
      <c r="E19" s="238" t="str">
        <f>IF(D19="לחמניית צליאק","יח'","חב' של 3")</f>
        <v>יח'</v>
      </c>
      <c r="F19" s="238" t="str">
        <f>IF(D19="לחמניית צליאק","2","3")</f>
        <v>2</v>
      </c>
      <c r="G19" s="238">
        <f>ROUNDUP(C16*F19,0)*C19</f>
        <v>0</v>
      </c>
      <c r="H19" s="313"/>
      <c r="K19" s="364">
        <v>4879</v>
      </c>
      <c r="L19" s="300" t="s">
        <v>0</v>
      </c>
      <c r="M19" s="234" t="s">
        <v>60</v>
      </c>
      <c r="N19" s="634">
        <f>SUMIF($D$7:$D$105,טבלה1[[#This Row],[מוצר]],$G$7:$G$105)</f>
        <v>0</v>
      </c>
      <c r="O19" s="321"/>
      <c r="P19" s="297"/>
    </row>
    <row r="20" spans="1:16" ht="16.5" customHeight="1" thickBot="1">
      <c r="B20" s="725"/>
      <c r="C20" s="686"/>
      <c r="D20" s="315" t="s">
        <v>23</v>
      </c>
      <c r="E20" s="240" t="s">
        <v>6</v>
      </c>
      <c r="F20" s="240">
        <v>10</v>
      </c>
      <c r="G20" s="240">
        <f>ROUNDUP(C10/F20,0)*C19</f>
        <v>0</v>
      </c>
      <c r="H20" s="313"/>
      <c r="K20" s="364">
        <v>7915</v>
      </c>
      <c r="L20" s="300" t="s">
        <v>79</v>
      </c>
      <c r="M20" s="234" t="s">
        <v>6</v>
      </c>
      <c r="N20" s="234">
        <f>CEILING(SUMIF($D$7:$D$105,טבלה1[[#This Row],[מוצר]],$G$7:$G$105),8)/8</f>
        <v>0</v>
      </c>
      <c r="O20" s="321"/>
      <c r="P20" s="297"/>
    </row>
    <row r="21" spans="1:16" ht="16.5" customHeight="1">
      <c r="B21" s="509"/>
      <c r="C21" s="234"/>
      <c r="D21" s="315" t="s">
        <v>509</v>
      </c>
      <c r="E21" s="240" t="s">
        <v>8</v>
      </c>
      <c r="F21" s="240">
        <v>35</v>
      </c>
      <c r="G21" s="240">
        <f>ROUNDUP(C10/F21,0)*C19</f>
        <v>0</v>
      </c>
      <c r="H21" s="313"/>
      <c r="K21" s="364">
        <v>8455</v>
      </c>
      <c r="L21" s="300" t="s">
        <v>23</v>
      </c>
      <c r="M21" s="234" t="s">
        <v>6</v>
      </c>
      <c r="N21" s="234">
        <f>SUMIF($D$7:$D$105,טבלה1[[#This Row],[מוצר]],$G$7:$G$105)</f>
        <v>0</v>
      </c>
      <c r="O21" s="321"/>
      <c r="P21" s="297"/>
    </row>
    <row r="22" spans="1:16" ht="16.5" customHeight="1">
      <c r="B22" s="510"/>
      <c r="C22" s="234"/>
      <c r="D22" s="316" t="s">
        <v>32</v>
      </c>
      <c r="E22" s="240" t="s">
        <v>6</v>
      </c>
      <c r="F22" s="240">
        <v>2</v>
      </c>
      <c r="G22" s="240">
        <f>ROUNDUP($C$10/F22,0)*C19</f>
        <v>0</v>
      </c>
      <c r="H22" s="313"/>
      <c r="K22" s="364">
        <v>9982</v>
      </c>
      <c r="L22" s="300" t="s">
        <v>509</v>
      </c>
      <c r="M22" s="234" t="s">
        <v>8</v>
      </c>
      <c r="N22" s="234">
        <f>SUMIF($D$7:$D$105,טבלה1[[#This Row],[מוצר]],$G$7:$G$105)</f>
        <v>0</v>
      </c>
      <c r="O22" s="321"/>
      <c r="P22" s="297"/>
    </row>
    <row r="23" spans="1:16" ht="16.5" customHeight="1">
      <c r="B23" s="510"/>
      <c r="C23" s="234"/>
      <c r="D23" s="317" t="s">
        <v>33</v>
      </c>
      <c r="E23" s="240" t="s">
        <v>6</v>
      </c>
      <c r="F23" s="240">
        <v>2</v>
      </c>
      <c r="G23" s="240">
        <f>ROUNDUP($C$10/F23,0)*C19</f>
        <v>0</v>
      </c>
      <c r="H23" s="313"/>
      <c r="K23" s="364"/>
      <c r="L23" s="300"/>
      <c r="M23" s="234"/>
      <c r="N23" s="234"/>
      <c r="O23" s="365"/>
    </row>
    <row r="24" spans="1:16" ht="16.5" customHeight="1">
      <c r="B24" s="510"/>
      <c r="C24" s="234"/>
      <c r="D24" s="317" t="s">
        <v>28</v>
      </c>
      <c r="E24" s="240" t="s">
        <v>6</v>
      </c>
      <c r="F24" s="240">
        <v>2</v>
      </c>
      <c r="G24" s="240">
        <f>ROUNDUP($C$10/F24,0)*C19</f>
        <v>0</v>
      </c>
      <c r="H24" s="313"/>
      <c r="K24" s="366" t="s">
        <v>179</v>
      </c>
      <c r="L24" s="298" t="s">
        <v>16</v>
      </c>
      <c r="M24" s="233" t="s">
        <v>59</v>
      </c>
      <c r="N24" s="299" t="s">
        <v>9</v>
      </c>
      <c r="O24" s="321"/>
      <c r="P24" s="297"/>
    </row>
    <row r="25" spans="1:16" ht="16.5" customHeight="1">
      <c r="B25" s="510"/>
      <c r="C25" s="234"/>
      <c r="D25" s="227" t="s">
        <v>615</v>
      </c>
      <c r="E25" s="240" t="s">
        <v>6</v>
      </c>
      <c r="F25" s="164">
        <f>3/100</f>
        <v>0.03</v>
      </c>
      <c r="G25" s="161">
        <f>ROUNDUP(C10*F25,0)*C19</f>
        <v>0</v>
      </c>
      <c r="H25" s="313"/>
      <c r="K25" s="364" t="s">
        <v>574</v>
      </c>
      <c r="L25" s="300" t="s">
        <v>32</v>
      </c>
      <c r="M25" s="234" t="s">
        <v>6</v>
      </c>
      <c r="N25" s="234">
        <f>SUMIF($D$7:$D$79,טבלה5[[#This Row],[מוצר]],$G$7:$G$79)</f>
        <v>0</v>
      </c>
      <c r="O25" s="321"/>
      <c r="P25" s="297"/>
    </row>
    <row r="26" spans="1:16" ht="16.5" customHeight="1">
      <c r="B26" s="510"/>
      <c r="C26" s="234"/>
      <c r="D26" s="317" t="s">
        <v>125</v>
      </c>
      <c r="E26" s="240" t="s">
        <v>6</v>
      </c>
      <c r="F26" s="240">
        <v>1.3</v>
      </c>
      <c r="G26" s="238">
        <f>IF(C7=J71,ROUNDUP($C$10*F26,0),0)*C19</f>
        <v>0</v>
      </c>
      <c r="H26" s="307"/>
      <c r="K26" s="364" t="s">
        <v>575</v>
      </c>
      <c r="L26" s="300" t="s">
        <v>33</v>
      </c>
      <c r="M26" s="234" t="s">
        <v>6</v>
      </c>
      <c r="N26" s="234">
        <f>SUMIF($D$7:$D$79,טבלה5[[#This Row],[מוצר]],$G$7:$G$79)</f>
        <v>0</v>
      </c>
      <c r="O26" s="321"/>
      <c r="P26" s="297"/>
    </row>
    <row r="27" spans="1:16" ht="16.5" customHeight="1" thickBot="1">
      <c r="B27" s="510"/>
      <c r="C27" s="234"/>
      <c r="D27" s="318" t="s">
        <v>34</v>
      </c>
      <c r="E27" s="241" t="s">
        <v>6</v>
      </c>
      <c r="F27" s="241">
        <v>40</v>
      </c>
      <c r="G27" s="241">
        <f>ROUNDUP($C$10/F27,0)*C19</f>
        <v>0</v>
      </c>
      <c r="H27" s="319"/>
      <c r="K27" s="363" t="s">
        <v>569</v>
      </c>
      <c r="L27" s="300" t="s">
        <v>28</v>
      </c>
      <c r="M27" s="234" t="s">
        <v>6</v>
      </c>
      <c r="N27" s="234">
        <f>SUMIF($D$7:$D$79,טבלה5[[#This Row],[מוצר]],$G$7:$G$79)</f>
        <v>0</v>
      </c>
      <c r="O27" s="321"/>
      <c r="P27" s="297"/>
    </row>
    <row r="28" spans="1:16" ht="16.5" customHeight="1">
      <c r="B28" s="510"/>
      <c r="C28" s="234"/>
      <c r="D28" s="210"/>
      <c r="E28" s="242"/>
      <c r="F28" s="242"/>
      <c r="G28" s="242"/>
      <c r="H28" s="210"/>
      <c r="K28" s="363" t="s">
        <v>579</v>
      </c>
      <c r="L28" s="300" t="s">
        <v>125</v>
      </c>
      <c r="M28" s="234" t="s">
        <v>6</v>
      </c>
      <c r="N28" s="234">
        <f>SUMIF($D$7:$D$79,טבלה5[[#This Row],[מוצר]],$G$7:$G$79)</f>
        <v>0</v>
      </c>
      <c r="O28" s="321"/>
      <c r="P28" s="297"/>
    </row>
    <row r="29" spans="1:16" ht="16.5" customHeight="1" thickBot="1">
      <c r="A29" s="300"/>
      <c r="B29" s="300"/>
      <c r="C29" s="234"/>
      <c r="D29" s="300"/>
      <c r="E29" s="300"/>
      <c r="F29" s="300"/>
      <c r="G29" s="300"/>
      <c r="H29" s="300"/>
      <c r="K29" s="363" t="s">
        <v>577</v>
      </c>
      <c r="L29" s="300" t="s">
        <v>34</v>
      </c>
      <c r="M29" s="234" t="s">
        <v>6</v>
      </c>
      <c r="N29" s="234">
        <f>SUMIF($D$7:$D$79,טבלה5[[#This Row],[מוצר]],$G$7:$G$79)</f>
        <v>0</v>
      </c>
      <c r="O29" s="321"/>
      <c r="P29" s="297"/>
    </row>
    <row r="30" spans="1:16" ht="16.5" customHeight="1" thickBot="1">
      <c r="A30" s="300"/>
      <c r="B30" s="724"/>
      <c r="C30" s="726" t="s">
        <v>543</v>
      </c>
      <c r="D30" s="727"/>
      <c r="E30" s="727"/>
      <c r="F30" s="727"/>
      <c r="G30" s="727"/>
      <c r="H30" s="728"/>
      <c r="K30" s="363" t="s">
        <v>613</v>
      </c>
      <c r="L30" s="399" t="s">
        <v>615</v>
      </c>
      <c r="M30" s="237" t="s">
        <v>6</v>
      </c>
      <c r="N30" s="398">
        <f>SUMIF($D$7:$D$79,טבלה5[[#This Row],[מוצר]],$G$7:$G$79)</f>
        <v>0</v>
      </c>
      <c r="O30" s="321"/>
      <c r="P30" s="297"/>
    </row>
    <row r="31" spans="1:16" ht="16.5" customHeight="1">
      <c r="A31" s="300"/>
      <c r="B31" s="725"/>
      <c r="C31" s="729" t="s">
        <v>532</v>
      </c>
      <c r="D31" s="731" t="s">
        <v>16</v>
      </c>
      <c r="E31" s="720" t="s">
        <v>47</v>
      </c>
      <c r="F31" s="720" t="s">
        <v>10</v>
      </c>
      <c r="G31" s="720" t="s">
        <v>9</v>
      </c>
      <c r="H31" s="733" t="s">
        <v>42</v>
      </c>
    </row>
    <row r="32" spans="1:16" ht="16.5" customHeight="1" thickBot="1">
      <c r="A32" s="300"/>
      <c r="B32" s="725"/>
      <c r="C32" s="730"/>
      <c r="D32" s="732"/>
      <c r="E32" s="721"/>
      <c r="F32" s="721"/>
      <c r="G32" s="721"/>
      <c r="H32" s="734"/>
    </row>
    <row r="33" spans="1:14" ht="16.5" customHeight="1">
      <c r="A33" s="300"/>
      <c r="B33" s="725"/>
      <c r="C33" s="735" t="s">
        <v>122</v>
      </c>
      <c r="D33" s="301" t="s">
        <v>7</v>
      </c>
      <c r="E33" s="244" t="s">
        <v>55</v>
      </c>
      <c r="F33" s="244">
        <f>1/100</f>
        <v>0.01</v>
      </c>
      <c r="G33" s="244">
        <f>ROUNDUP(C36*F33,0)*C45</f>
        <v>0</v>
      </c>
      <c r="H33" s="302"/>
    </row>
    <row r="34" spans="1:14" ht="16.5" customHeight="1" thickBot="1">
      <c r="A34" s="300"/>
      <c r="B34" s="725"/>
      <c r="C34" s="736"/>
      <c r="D34" s="303" t="s">
        <v>5</v>
      </c>
      <c r="E34" s="238" t="s">
        <v>55</v>
      </c>
      <c r="F34" s="238">
        <f>1/75</f>
        <v>1.3333333333333334E-2</v>
      </c>
      <c r="G34" s="238">
        <f>ROUNDUP(C36*F34,0)*C45</f>
        <v>0</v>
      </c>
      <c r="H34" s="304"/>
    </row>
    <row r="35" spans="1:14" ht="16.5" customHeight="1" thickBot="1">
      <c r="A35" s="300"/>
      <c r="B35" s="725"/>
      <c r="C35" s="305" t="s">
        <v>36</v>
      </c>
      <c r="D35" s="306" t="s">
        <v>546</v>
      </c>
      <c r="E35" s="238">
        <v>1</v>
      </c>
      <c r="F35" s="238">
        <v>25</v>
      </c>
      <c r="G35" s="238">
        <f>ROUNDUP(C36/F35,0)*C45</f>
        <v>0</v>
      </c>
      <c r="H35" s="307"/>
      <c r="J35" s="216">
        <f>SUM(J38:J41)</f>
        <v>0</v>
      </c>
      <c r="L35" s="368"/>
      <c r="M35" s="369"/>
      <c r="N35" s="369"/>
    </row>
    <row r="36" spans="1:14" ht="16.5" customHeight="1">
      <c r="A36" s="300"/>
      <c r="B36" s="725"/>
      <c r="C36" s="684"/>
      <c r="D36" s="308" t="s">
        <v>508</v>
      </c>
      <c r="E36" s="238" t="str">
        <f>IF(D36=J104,"2 קג","400 גרם")</f>
        <v>400 גרם</v>
      </c>
      <c r="F36" s="238">
        <f>1/25</f>
        <v>0.04</v>
      </c>
      <c r="G36" s="238">
        <f>IF(D36=J104,ROUNDUP(C36*F36,0),ROUNDUP((C36-C39)*F36,0))*C45</f>
        <v>0</v>
      </c>
      <c r="H36" s="307"/>
      <c r="J36" s="216">
        <f>COUNTIF(J38:J41,"&gt;0")</f>
        <v>0</v>
      </c>
      <c r="L36" s="267"/>
      <c r="M36" s="267"/>
      <c r="N36" s="370"/>
    </row>
    <row r="37" spans="1:14" ht="16.5" customHeight="1" thickBot="1">
      <c r="A37" s="300"/>
      <c r="B37" s="725"/>
      <c r="C37" s="686"/>
      <c r="D37" s="309" t="s">
        <v>515</v>
      </c>
      <c r="E37" s="238" t="s">
        <v>60</v>
      </c>
      <c r="F37" s="238">
        <f>1/40</f>
        <v>2.5000000000000001E-2</v>
      </c>
      <c r="G37" s="238">
        <f>IF(D36=J104,0,ROUNDUP((C36-C39)*F37,0)*C45)</f>
        <v>0</v>
      </c>
      <c r="H37" s="307"/>
      <c r="J37" s="216">
        <v>0.2</v>
      </c>
      <c r="K37" s="371"/>
      <c r="L37" s="267"/>
      <c r="M37" s="267"/>
      <c r="N37" s="370"/>
    </row>
    <row r="38" spans="1:14" ht="16.5" customHeight="1" thickBot="1">
      <c r="A38" s="300"/>
      <c r="B38" s="725"/>
      <c r="C38" s="310" t="s">
        <v>806</v>
      </c>
      <c r="D38" s="303" t="s">
        <v>3</v>
      </c>
      <c r="E38" s="238" t="s">
        <v>8</v>
      </c>
      <c r="F38" s="238">
        <v>0.03</v>
      </c>
      <c r="G38" s="238">
        <f>ROUNDUP(C36*F38,0)*C45</f>
        <v>0</v>
      </c>
      <c r="H38" s="304"/>
      <c r="J38" s="320">
        <f>$G$16</f>
        <v>0</v>
      </c>
      <c r="K38" s="371"/>
      <c r="L38" s="267"/>
      <c r="M38" s="267"/>
      <c r="N38" s="370"/>
    </row>
    <row r="39" spans="1:14" ht="16.5" customHeight="1">
      <c r="A39" s="300"/>
      <c r="B39" s="725"/>
      <c r="C39" s="685"/>
      <c r="D39" s="303" t="s">
        <v>2</v>
      </c>
      <c r="E39" s="238" t="s">
        <v>8</v>
      </c>
      <c r="F39" s="238">
        <v>0.02</v>
      </c>
      <c r="G39" s="238">
        <f>ROUNDUP(C36*F39,0)*C45</f>
        <v>0</v>
      </c>
      <c r="H39" s="304"/>
      <c r="J39" s="320">
        <f>$G$40</f>
        <v>0</v>
      </c>
      <c r="K39" s="557"/>
      <c r="L39" s="267"/>
      <c r="M39" s="267"/>
    </row>
    <row r="40" spans="1:14" ht="16.5" customHeight="1" thickBot="1">
      <c r="A40" s="300"/>
      <c r="B40" s="725"/>
      <c r="C40" s="686"/>
      <c r="D40" s="303" t="s">
        <v>913</v>
      </c>
      <c r="E40" s="238" t="s">
        <v>6</v>
      </c>
      <c r="F40" s="238">
        <v>3</v>
      </c>
      <c r="G40" s="238">
        <f>ROUNDUP(C36/F40,0)*C45</f>
        <v>0</v>
      </c>
      <c r="H40" s="307"/>
      <c r="J40" s="320">
        <f>$G$62</f>
        <v>0</v>
      </c>
      <c r="L40" s="267"/>
      <c r="M40" s="267"/>
    </row>
    <row r="41" spans="1:14" ht="16.5" customHeight="1" thickBot="1">
      <c r="A41" s="300"/>
      <c r="B41" s="725"/>
      <c r="C41" s="305" t="s">
        <v>77</v>
      </c>
      <c r="D41" s="303" t="s">
        <v>91</v>
      </c>
      <c r="E41" s="238" t="s">
        <v>60</v>
      </c>
      <c r="F41" s="238">
        <v>50</v>
      </c>
      <c r="G41" s="238">
        <f>ROUNDUP(C36/F41,0)*C45</f>
        <v>0</v>
      </c>
      <c r="H41" s="307"/>
      <c r="J41" s="297">
        <f>$G$85</f>
        <v>0</v>
      </c>
      <c r="L41" s="267"/>
      <c r="M41" s="267"/>
    </row>
    <row r="42" spans="1:14" ht="16.5" customHeight="1">
      <c r="A42" s="300"/>
      <c r="B42" s="725"/>
      <c r="C42" s="684"/>
      <c r="D42" s="303" t="s">
        <v>41</v>
      </c>
      <c r="E42" s="238" t="s">
        <v>44</v>
      </c>
      <c r="F42" s="238">
        <v>10</v>
      </c>
      <c r="G42" s="238">
        <f>ROUNDUP(C36/F42,0)*C45</f>
        <v>0</v>
      </c>
      <c r="H42" s="307"/>
      <c r="L42" s="267"/>
      <c r="M42" s="267"/>
    </row>
    <row r="43" spans="1:14" ht="16.5" customHeight="1" thickBot="1">
      <c r="A43" s="300"/>
      <c r="B43" s="725"/>
      <c r="C43" s="686"/>
      <c r="D43" s="303" t="s">
        <v>517</v>
      </c>
      <c r="E43" s="238" t="s">
        <v>919</v>
      </c>
      <c r="F43" s="238">
        <v>50</v>
      </c>
      <c r="G43" s="238">
        <f>ROUNDUP(C36/F43,0)*C45</f>
        <v>0</v>
      </c>
      <c r="H43" s="307"/>
      <c r="J43" s="297" t="e">
        <f>IF(D10="פסטרמה טריה ",G10,0)+IF(D35="פסטרמה טריה ",G35,0)+IF(D57="פסטרמה טריה ",G57,0)+IF(#REF!="פסטרמה טריה ",#REF!,0)</f>
        <v>#REF!</v>
      </c>
      <c r="L43" s="267"/>
      <c r="M43" s="267"/>
    </row>
    <row r="44" spans="1:14" ht="16.5" customHeight="1" thickBot="1">
      <c r="A44" s="300"/>
      <c r="B44" s="725"/>
      <c r="C44" s="311" t="s">
        <v>541</v>
      </c>
      <c r="D44" s="312" t="s">
        <v>0</v>
      </c>
      <c r="E44" s="240" t="s">
        <v>60</v>
      </c>
      <c r="F44" s="240">
        <v>0.05</v>
      </c>
      <c r="G44" s="238">
        <f>ROUNDUP((F44*C39)*1000/400,0)*C45</f>
        <v>0</v>
      </c>
      <c r="H44" s="313"/>
      <c r="L44" s="267"/>
      <c r="M44" s="267"/>
    </row>
    <row r="45" spans="1:14" ht="16.5" customHeight="1">
      <c r="A45" s="300"/>
      <c r="B45" s="725"/>
      <c r="C45" s="684"/>
      <c r="D45" s="314" t="s">
        <v>79</v>
      </c>
      <c r="E45" s="238" t="str">
        <f>IF(D45="לחמניית צליאק","יח'","חב' של 3")</f>
        <v>יח'</v>
      </c>
      <c r="F45" s="238" t="str">
        <f>IF(D45="לחמניית צליאק","2","3")</f>
        <v>2</v>
      </c>
      <c r="G45" s="238">
        <f>ROUNDUP(C42*F45,0)*C45</f>
        <v>0</v>
      </c>
      <c r="H45" s="313"/>
      <c r="L45" s="267"/>
      <c r="M45" s="267"/>
    </row>
    <row r="46" spans="1:14" ht="16.5" customHeight="1" thickBot="1">
      <c r="A46" s="300"/>
      <c r="B46" s="725"/>
      <c r="C46" s="686"/>
      <c r="D46" s="315" t="s">
        <v>23</v>
      </c>
      <c r="E46" s="240" t="s">
        <v>6</v>
      </c>
      <c r="F46" s="240">
        <v>10</v>
      </c>
      <c r="G46" s="240">
        <f>ROUNDUP(C36/F46,0)*C45</f>
        <v>0</v>
      </c>
      <c r="H46" s="313"/>
      <c r="L46" s="267"/>
      <c r="M46" s="267"/>
    </row>
    <row r="47" spans="1:14" ht="16.5" customHeight="1">
      <c r="A47" s="300"/>
      <c r="B47" s="509"/>
      <c r="C47" s="234"/>
      <c r="D47" s="315" t="s">
        <v>509</v>
      </c>
      <c r="E47" s="240" t="s">
        <v>8</v>
      </c>
      <c r="F47" s="240">
        <v>35</v>
      </c>
      <c r="G47" s="240">
        <f>ROUNDUP(C36/F47,0)*C45</f>
        <v>0</v>
      </c>
      <c r="H47" s="313"/>
      <c r="L47" s="267"/>
      <c r="M47" s="267"/>
    </row>
    <row r="48" spans="1:14" ht="16.5" customHeight="1">
      <c r="A48" s="300"/>
      <c r="B48" s="510"/>
      <c r="C48" s="234"/>
      <c r="D48" s="316" t="s">
        <v>32</v>
      </c>
      <c r="E48" s="240" t="s">
        <v>6</v>
      </c>
      <c r="F48" s="240">
        <v>2</v>
      </c>
      <c r="G48" s="240">
        <f>ROUNDUP($C$10/F48,0)*C45</f>
        <v>0</v>
      </c>
      <c r="H48" s="313"/>
      <c r="L48" s="267"/>
      <c r="M48" s="267"/>
    </row>
    <row r="49" spans="1:13" ht="16.5" customHeight="1">
      <c r="A49" s="300"/>
      <c r="B49" s="510"/>
      <c r="C49" s="234"/>
      <c r="D49" s="317" t="s">
        <v>33</v>
      </c>
      <c r="E49" s="240" t="s">
        <v>6</v>
      </c>
      <c r="F49" s="240">
        <v>2</v>
      </c>
      <c r="G49" s="240">
        <f>ROUNDUP($C$10/F49,0)*C45</f>
        <v>0</v>
      </c>
      <c r="H49" s="313"/>
      <c r="L49" s="267"/>
      <c r="M49" s="267"/>
    </row>
    <row r="50" spans="1:13" ht="16.5" customHeight="1">
      <c r="A50" s="300"/>
      <c r="B50" s="510"/>
      <c r="C50" s="234"/>
      <c r="D50" s="317" t="s">
        <v>28</v>
      </c>
      <c r="E50" s="240" t="s">
        <v>6</v>
      </c>
      <c r="F50" s="240">
        <v>2</v>
      </c>
      <c r="G50" s="240">
        <f>ROUNDUP($C$10/F50,0)*C45</f>
        <v>0</v>
      </c>
      <c r="H50" s="313"/>
    </row>
    <row r="51" spans="1:13" ht="16.5" customHeight="1">
      <c r="A51" s="300"/>
      <c r="B51" s="510"/>
      <c r="C51" s="234"/>
      <c r="D51" s="227" t="s">
        <v>615</v>
      </c>
      <c r="E51" s="240" t="s">
        <v>6</v>
      </c>
      <c r="F51" s="164">
        <f>3/100</f>
        <v>0.03</v>
      </c>
      <c r="G51" s="161">
        <f>ROUNDUP(C36*F51,0)*C45</f>
        <v>0</v>
      </c>
      <c r="H51" s="313"/>
    </row>
    <row r="52" spans="1:13" ht="16.5" customHeight="1">
      <c r="A52" s="300"/>
      <c r="B52" s="510"/>
      <c r="C52" s="234"/>
      <c r="D52" s="317" t="s">
        <v>125</v>
      </c>
      <c r="E52" s="240" t="s">
        <v>6</v>
      </c>
      <c r="F52" s="240">
        <v>1.3</v>
      </c>
      <c r="G52" s="238">
        <f>IF(C33=J97,ROUNDUP($C$10*F52,0),0)*C45</f>
        <v>0</v>
      </c>
      <c r="H52" s="307"/>
    </row>
    <row r="53" spans="1:13" ht="16.5" customHeight="1" thickBot="1">
      <c r="A53" s="300"/>
      <c r="B53" s="510"/>
      <c r="C53" s="234"/>
      <c r="D53" s="318" t="s">
        <v>34</v>
      </c>
      <c r="E53" s="241" t="s">
        <v>6</v>
      </c>
      <c r="F53" s="241">
        <v>40</v>
      </c>
      <c r="G53" s="241">
        <f>ROUNDUP($C$10/F53,0)*C45</f>
        <v>0</v>
      </c>
      <c r="H53" s="319"/>
    </row>
    <row r="54" spans="1:13" ht="16.5" customHeight="1">
      <c r="A54" s="300"/>
      <c r="B54" s="300"/>
      <c r="C54" s="234"/>
      <c r="D54" s="300"/>
      <c r="E54" s="300"/>
      <c r="F54" s="300"/>
      <c r="G54" s="300"/>
      <c r="H54" s="300"/>
    </row>
    <row r="55" spans="1:13" ht="16.5" customHeight="1" thickBot="1">
      <c r="A55" s="300"/>
      <c r="B55" s="300"/>
      <c r="C55" s="234"/>
      <c r="D55" s="243"/>
      <c r="E55" s="243"/>
      <c r="F55" s="243"/>
      <c r="G55" s="243"/>
      <c r="H55" s="243"/>
    </row>
    <row r="56" spans="1:13" ht="16.5" customHeight="1" thickBot="1">
      <c r="A56" s="300"/>
      <c r="B56" s="724"/>
      <c r="C56" s="726" t="s">
        <v>543</v>
      </c>
      <c r="D56" s="727"/>
      <c r="E56" s="727"/>
      <c r="F56" s="727"/>
      <c r="G56" s="727"/>
      <c r="H56" s="728"/>
    </row>
    <row r="57" spans="1:13" ht="16.5" customHeight="1">
      <c r="A57" s="300"/>
      <c r="B57" s="725"/>
      <c r="C57" s="729" t="s">
        <v>532</v>
      </c>
      <c r="D57" s="731" t="s">
        <v>16</v>
      </c>
      <c r="E57" s="720" t="s">
        <v>47</v>
      </c>
      <c r="F57" s="720" t="s">
        <v>10</v>
      </c>
      <c r="G57" s="720" t="s">
        <v>9</v>
      </c>
      <c r="H57" s="733" t="s">
        <v>42</v>
      </c>
    </row>
    <row r="58" spans="1:13" ht="16.5" customHeight="1" thickBot="1">
      <c r="A58" s="300"/>
      <c r="B58" s="725"/>
      <c r="C58" s="730"/>
      <c r="D58" s="732"/>
      <c r="E58" s="721"/>
      <c r="F58" s="721"/>
      <c r="G58" s="721"/>
      <c r="H58" s="734"/>
    </row>
    <row r="59" spans="1:13" ht="16.5" customHeight="1">
      <c r="A59" s="300"/>
      <c r="B59" s="725"/>
      <c r="C59" s="735" t="s">
        <v>122</v>
      </c>
      <c r="D59" s="301" t="s">
        <v>7</v>
      </c>
      <c r="E59" s="244" t="s">
        <v>55</v>
      </c>
      <c r="F59" s="244">
        <f>1/100</f>
        <v>0.01</v>
      </c>
      <c r="G59" s="244">
        <f>ROUNDUP(C62*F59,0)*C71</f>
        <v>0</v>
      </c>
      <c r="H59" s="302"/>
    </row>
    <row r="60" spans="1:13" ht="16.5" customHeight="1" thickBot="1">
      <c r="A60" s="300"/>
      <c r="B60" s="725"/>
      <c r="C60" s="736"/>
      <c r="D60" s="303" t="s">
        <v>5</v>
      </c>
      <c r="E60" s="238" t="s">
        <v>55</v>
      </c>
      <c r="F60" s="238">
        <f>1/75</f>
        <v>1.3333333333333334E-2</v>
      </c>
      <c r="G60" s="238">
        <f>ROUNDUP(C62*F60,0)*C71</f>
        <v>0</v>
      </c>
      <c r="H60" s="304"/>
    </row>
    <row r="61" spans="1:13" ht="16.5" customHeight="1" thickBot="1">
      <c r="A61" s="300"/>
      <c r="B61" s="725"/>
      <c r="C61" s="305" t="s">
        <v>36</v>
      </c>
      <c r="D61" s="306" t="s">
        <v>546</v>
      </c>
      <c r="E61" s="238">
        <v>1</v>
      </c>
      <c r="F61" s="238">
        <v>25</v>
      </c>
      <c r="G61" s="238">
        <f>ROUNDUP(C62/F61,0)*C71</f>
        <v>0</v>
      </c>
      <c r="H61" s="307"/>
    </row>
    <row r="62" spans="1:13" ht="16.5" customHeight="1">
      <c r="A62" s="300"/>
      <c r="B62" s="725"/>
      <c r="C62" s="684"/>
      <c r="D62" s="308" t="s">
        <v>508</v>
      </c>
      <c r="E62" s="238" t="str">
        <f>IF(D62=J130,"2 קג","400 גרם")</f>
        <v>400 גרם</v>
      </c>
      <c r="F62" s="238">
        <f>1/25</f>
        <v>0.04</v>
      </c>
      <c r="G62" s="238">
        <f>IF(D62=J130,ROUNDUP(C62*F62,0),ROUNDUP((C62-C65)*F62,0))*C71</f>
        <v>0</v>
      </c>
      <c r="H62" s="307"/>
    </row>
    <row r="63" spans="1:13" ht="16.5" customHeight="1" thickBot="1">
      <c r="A63" s="300"/>
      <c r="B63" s="725"/>
      <c r="C63" s="686"/>
      <c r="D63" s="309" t="s">
        <v>515</v>
      </c>
      <c r="E63" s="238" t="s">
        <v>60</v>
      </c>
      <c r="F63" s="238">
        <f>1/40</f>
        <v>2.5000000000000001E-2</v>
      </c>
      <c r="G63" s="238">
        <f>IF(D62=J130,0,ROUNDUP((C62-C65)*F63,0)*C71)</f>
        <v>0</v>
      </c>
      <c r="H63" s="307"/>
    </row>
    <row r="64" spans="1:13" ht="16.5" customHeight="1" thickBot="1">
      <c r="A64" s="300"/>
      <c r="B64" s="725"/>
      <c r="C64" s="310" t="s">
        <v>806</v>
      </c>
      <c r="D64" s="303" t="s">
        <v>3</v>
      </c>
      <c r="E64" s="238" t="s">
        <v>8</v>
      </c>
      <c r="F64" s="238">
        <v>0.03</v>
      </c>
      <c r="G64" s="238">
        <f>ROUNDUP(C62*F64,0)*C71</f>
        <v>0</v>
      </c>
      <c r="H64" s="304"/>
    </row>
    <row r="65" spans="1:16" ht="16.5" customHeight="1">
      <c r="A65" s="300"/>
      <c r="B65" s="725"/>
      <c r="C65" s="685"/>
      <c r="D65" s="303" t="s">
        <v>2</v>
      </c>
      <c r="E65" s="238" t="s">
        <v>8</v>
      </c>
      <c r="F65" s="238">
        <v>0.02</v>
      </c>
      <c r="G65" s="238">
        <f>ROUNDUP(C62*F65,0)*C71</f>
        <v>0</v>
      </c>
      <c r="H65" s="304"/>
    </row>
    <row r="66" spans="1:16" ht="16.5" customHeight="1" thickBot="1">
      <c r="A66" s="300"/>
      <c r="B66" s="725"/>
      <c r="C66" s="686"/>
      <c r="D66" s="303" t="s">
        <v>913</v>
      </c>
      <c r="E66" s="238" t="s">
        <v>6</v>
      </c>
      <c r="F66" s="238">
        <v>3</v>
      </c>
      <c r="G66" s="238">
        <f>ROUNDUP(C62/F66,0)*C71</f>
        <v>0</v>
      </c>
      <c r="H66" s="307"/>
    </row>
    <row r="67" spans="1:16" ht="16.5" customHeight="1" thickBot="1">
      <c r="A67" s="300"/>
      <c r="B67" s="725"/>
      <c r="C67" s="305" t="s">
        <v>77</v>
      </c>
      <c r="D67" s="303" t="s">
        <v>91</v>
      </c>
      <c r="E67" s="238" t="s">
        <v>60</v>
      </c>
      <c r="F67" s="238">
        <v>50</v>
      </c>
      <c r="G67" s="238">
        <f>ROUNDUP(C62/F67,0)*C71</f>
        <v>0</v>
      </c>
      <c r="H67" s="307"/>
    </row>
    <row r="68" spans="1:16" ht="16.5" customHeight="1">
      <c r="A68" s="300"/>
      <c r="B68" s="725"/>
      <c r="C68" s="684"/>
      <c r="D68" s="303" t="s">
        <v>41</v>
      </c>
      <c r="E68" s="238" t="s">
        <v>44</v>
      </c>
      <c r="F68" s="238">
        <v>10</v>
      </c>
      <c r="G68" s="238">
        <f>ROUNDUP(C62/F68,0)*C71</f>
        <v>0</v>
      </c>
      <c r="H68" s="307"/>
    </row>
    <row r="69" spans="1:16" ht="16.5" customHeight="1" thickBot="1">
      <c r="A69" s="300"/>
      <c r="B69" s="725"/>
      <c r="C69" s="686"/>
      <c r="D69" s="303" t="s">
        <v>517</v>
      </c>
      <c r="E69" s="238" t="s">
        <v>919</v>
      </c>
      <c r="F69" s="238">
        <v>50</v>
      </c>
      <c r="G69" s="238">
        <f>ROUNDUP(C62/F69,0)*C71</f>
        <v>0</v>
      </c>
      <c r="H69" s="307"/>
    </row>
    <row r="70" spans="1:16" ht="16.5" customHeight="1" thickBot="1">
      <c r="A70" s="300"/>
      <c r="B70" s="725"/>
      <c r="C70" s="311" t="s">
        <v>541</v>
      </c>
      <c r="D70" s="312" t="s">
        <v>0</v>
      </c>
      <c r="E70" s="240" t="s">
        <v>60</v>
      </c>
      <c r="F70" s="240">
        <v>0.05</v>
      </c>
      <c r="G70" s="238">
        <f>ROUNDUP((F70*C65)*1000/400,0)*C71</f>
        <v>0</v>
      </c>
      <c r="H70" s="313"/>
      <c r="J70" s="297" t="s">
        <v>122</v>
      </c>
    </row>
    <row r="71" spans="1:16" ht="16.5" customHeight="1">
      <c r="A71" s="300"/>
      <c r="B71" s="725"/>
      <c r="C71" s="684"/>
      <c r="D71" s="314" t="s">
        <v>79</v>
      </c>
      <c r="E71" s="238" t="str">
        <f>IF(D71="לחמניית צליאק","יח'","חב' של 3")</f>
        <v>יח'</v>
      </c>
      <c r="F71" s="238" t="str">
        <f>IF(D71="לחמניית צליאק","2","3")</f>
        <v>2</v>
      </c>
      <c r="G71" s="238">
        <f>ROUNDUP(C68*F71,0)*C71</f>
        <v>0</v>
      </c>
      <c r="H71" s="313"/>
      <c r="J71" s="297" t="s">
        <v>123</v>
      </c>
      <c r="K71" s="371"/>
    </row>
    <row r="72" spans="1:16" ht="16.5" customHeight="1" thickBot="1">
      <c r="A72" s="300"/>
      <c r="B72" s="725"/>
      <c r="C72" s="686"/>
      <c r="D72" s="315" t="s">
        <v>23</v>
      </c>
      <c r="E72" s="240" t="s">
        <v>6</v>
      </c>
      <c r="F72" s="240">
        <v>10</v>
      </c>
      <c r="G72" s="240">
        <f>ROUNDUP(C62/F72,0)*C71</f>
        <v>0</v>
      </c>
      <c r="H72" s="313"/>
      <c r="J72" s="320"/>
      <c r="K72" s="371"/>
    </row>
    <row r="73" spans="1:16" ht="16.5" customHeight="1">
      <c r="A73" s="300"/>
      <c r="B73" s="509"/>
      <c r="C73" s="234"/>
      <c r="D73" s="315" t="s">
        <v>509</v>
      </c>
      <c r="E73" s="240" t="s">
        <v>8</v>
      </c>
      <c r="F73" s="240">
        <v>35</v>
      </c>
      <c r="G73" s="240">
        <f>ROUNDUP(C62/F73,0)*C71</f>
        <v>0</v>
      </c>
      <c r="H73" s="313"/>
      <c r="J73" s="320" t="s">
        <v>73</v>
      </c>
    </row>
    <row r="74" spans="1:16" ht="16.5" customHeight="1">
      <c r="A74" s="300"/>
      <c r="B74" s="510"/>
      <c r="C74" s="234"/>
      <c r="D74" s="316" t="s">
        <v>32</v>
      </c>
      <c r="E74" s="240" t="s">
        <v>6</v>
      </c>
      <c r="F74" s="240">
        <v>2</v>
      </c>
      <c r="G74" s="240">
        <f>ROUNDUP($C$10/F74,0)*C71</f>
        <v>0</v>
      </c>
      <c r="H74" s="313"/>
      <c r="J74" s="297" t="s">
        <v>0</v>
      </c>
    </row>
    <row r="75" spans="1:16" ht="16.5" customHeight="1">
      <c r="A75" s="300"/>
      <c r="B75" s="510"/>
      <c r="C75" s="234"/>
      <c r="D75" s="317" t="s">
        <v>33</v>
      </c>
      <c r="E75" s="240" t="s">
        <v>6</v>
      </c>
      <c r="F75" s="240">
        <v>2</v>
      </c>
      <c r="G75" s="240">
        <f>ROUNDUP($C$10/F75,0)*C71</f>
        <v>0</v>
      </c>
      <c r="H75" s="313"/>
      <c r="J75" s="297" t="s">
        <v>85</v>
      </c>
    </row>
    <row r="76" spans="1:16" ht="16.5" customHeight="1">
      <c r="A76" s="300"/>
      <c r="B76" s="510"/>
      <c r="C76" s="234"/>
      <c r="D76" s="317" t="s">
        <v>28</v>
      </c>
      <c r="E76" s="240" t="s">
        <v>6</v>
      </c>
      <c r="F76" s="240">
        <v>2</v>
      </c>
      <c r="G76" s="240">
        <f>ROUNDUP($C$10/F76,0)*C71</f>
        <v>0</v>
      </c>
      <c r="H76" s="313"/>
      <c r="K76" s="277"/>
    </row>
    <row r="77" spans="1:16" ht="16.5" customHeight="1">
      <c r="A77" s="300"/>
      <c r="B77" s="510"/>
      <c r="C77" s="234"/>
      <c r="D77" s="227" t="s">
        <v>615</v>
      </c>
      <c r="E77" s="240" t="s">
        <v>6</v>
      </c>
      <c r="F77" s="164">
        <f>3/100</f>
        <v>0.03</v>
      </c>
      <c r="G77" s="161">
        <f>ROUNDUP(C62*F77,0)*C71</f>
        <v>0</v>
      </c>
      <c r="H77" s="313"/>
      <c r="J77" s="267" t="s">
        <v>508</v>
      </c>
    </row>
    <row r="78" spans="1:16" ht="16.5" customHeight="1">
      <c r="A78" s="300"/>
      <c r="B78" s="510"/>
      <c r="C78" s="234"/>
      <c r="D78" s="317" t="s">
        <v>125</v>
      </c>
      <c r="E78" s="240" t="s">
        <v>6</v>
      </c>
      <c r="F78" s="240">
        <v>1.3</v>
      </c>
      <c r="G78" s="238">
        <f>IF(C59=J123,ROUNDUP($C$10*F78,0),0)*C71</f>
        <v>0</v>
      </c>
      <c r="H78" s="307"/>
      <c r="J78" s="321" t="s">
        <v>547</v>
      </c>
    </row>
    <row r="79" spans="1:16" ht="16.5" customHeight="1" thickBot="1">
      <c r="A79" s="300"/>
      <c r="B79" s="510"/>
      <c r="C79" s="234"/>
      <c r="D79" s="318" t="s">
        <v>34</v>
      </c>
      <c r="E79" s="241" t="s">
        <v>6</v>
      </c>
      <c r="F79" s="241">
        <v>40</v>
      </c>
      <c r="G79" s="241">
        <f>ROUNDUP($C$10/F79,0)*C71</f>
        <v>0</v>
      </c>
      <c r="H79" s="319"/>
    </row>
    <row r="80" spans="1:16" ht="16.5" customHeight="1">
      <c r="A80" s="300"/>
      <c r="B80" s="300"/>
      <c r="C80" s="234"/>
      <c r="D80" s="297"/>
      <c r="E80" s="297">
        <f ca="1">C16:H80</f>
        <v>0</v>
      </c>
      <c r="F80" s="363"/>
      <c r="G80" s="321"/>
      <c r="H80" s="236"/>
      <c r="I80" s="236"/>
      <c r="J80" s="367"/>
      <c r="K80" s="321"/>
      <c r="L80" s="297"/>
      <c r="M80" s="297"/>
      <c r="N80" s="297"/>
      <c r="O80" s="297"/>
      <c r="P80" s="297"/>
    </row>
    <row r="81" spans="1:16" ht="16.5" customHeight="1" thickBot="1">
      <c r="A81" s="300"/>
      <c r="B81" s="300"/>
      <c r="C81" s="234"/>
      <c r="D81" s="297"/>
      <c r="E81" s="297"/>
      <c r="F81" s="363"/>
      <c r="G81" s="321"/>
      <c r="H81" s="236"/>
      <c r="I81" s="236"/>
      <c r="J81" s="367"/>
      <c r="K81" s="321"/>
      <c r="L81" s="297"/>
      <c r="M81" s="297"/>
      <c r="N81" s="297"/>
      <c r="O81" s="297"/>
      <c r="P81" s="297"/>
    </row>
    <row r="82" spans="1:16" ht="16.5" customHeight="1" thickBot="1">
      <c r="A82" s="300"/>
      <c r="B82" s="724"/>
      <c r="C82" s="726" t="s">
        <v>543</v>
      </c>
      <c r="D82" s="727"/>
      <c r="E82" s="727"/>
      <c r="F82" s="727"/>
      <c r="G82" s="727"/>
      <c r="H82" s="728"/>
    </row>
    <row r="83" spans="1:16" ht="16.5" customHeight="1">
      <c r="A83" s="300"/>
      <c r="B83" s="725"/>
      <c r="C83" s="729" t="s">
        <v>532</v>
      </c>
      <c r="D83" s="731" t="s">
        <v>16</v>
      </c>
      <c r="E83" s="720" t="s">
        <v>47</v>
      </c>
      <c r="F83" s="720" t="s">
        <v>10</v>
      </c>
      <c r="G83" s="720" t="s">
        <v>9</v>
      </c>
      <c r="H83" s="733" t="s">
        <v>42</v>
      </c>
      <c r="J83" s="297" t="s">
        <v>48</v>
      </c>
    </row>
    <row r="84" spans="1:16" ht="16.5" customHeight="1" thickBot="1">
      <c r="A84" s="300"/>
      <c r="B84" s="725"/>
      <c r="C84" s="730"/>
      <c r="D84" s="732"/>
      <c r="E84" s="721"/>
      <c r="F84" s="721"/>
      <c r="G84" s="721"/>
      <c r="H84" s="734"/>
      <c r="J84" s="297" t="s">
        <v>71</v>
      </c>
    </row>
    <row r="85" spans="1:16" ht="16.5" customHeight="1">
      <c r="A85" s="300"/>
      <c r="B85" s="725"/>
      <c r="C85" s="735" t="s">
        <v>122</v>
      </c>
      <c r="D85" s="301" t="s">
        <v>7</v>
      </c>
      <c r="E85" s="244" t="s">
        <v>55</v>
      </c>
      <c r="F85" s="244">
        <f>1/100</f>
        <v>0.01</v>
      </c>
      <c r="G85" s="244">
        <f>ROUNDUP(C88*F85,0)*C97</f>
        <v>0</v>
      </c>
      <c r="H85" s="302"/>
    </row>
    <row r="86" spans="1:16" ht="16.5" customHeight="1" thickBot="1">
      <c r="A86" s="300"/>
      <c r="B86" s="725"/>
      <c r="C86" s="736"/>
      <c r="D86" s="303" t="s">
        <v>5</v>
      </c>
      <c r="E86" s="238" t="s">
        <v>55</v>
      </c>
      <c r="F86" s="238">
        <f>1/75</f>
        <v>1.3333333333333334E-2</v>
      </c>
      <c r="G86" s="238">
        <f>ROUNDUP(C88*F86,0)*C97</f>
        <v>0</v>
      </c>
      <c r="H86" s="304"/>
    </row>
    <row r="87" spans="1:16" ht="16.5" customHeight="1" thickBot="1">
      <c r="A87" s="300"/>
      <c r="B87" s="725"/>
      <c r="C87" s="305" t="s">
        <v>36</v>
      </c>
      <c r="D87" s="306" t="s">
        <v>546</v>
      </c>
      <c r="E87" s="238">
        <v>1</v>
      </c>
      <c r="F87" s="238">
        <v>25</v>
      </c>
      <c r="G87" s="238">
        <f>ROUNDUP(C88/F87,0)*C97</f>
        <v>0</v>
      </c>
      <c r="H87" s="307"/>
    </row>
    <row r="88" spans="1:16" ht="16.5" customHeight="1">
      <c r="A88" s="300"/>
      <c r="B88" s="725"/>
      <c r="C88" s="684"/>
      <c r="D88" s="308" t="s">
        <v>508</v>
      </c>
      <c r="E88" s="238" t="str">
        <f>IF(D88=J156,"2 קג","400 גרם")</f>
        <v>400 גרם</v>
      </c>
      <c r="F88" s="238">
        <f>1/25</f>
        <v>0.04</v>
      </c>
      <c r="G88" s="238">
        <f>IF(D88=J156,ROUNDUP(C88*F88,0),ROUNDUP((C88-C91)*F88,0))*C97</f>
        <v>0</v>
      </c>
      <c r="H88" s="307"/>
    </row>
    <row r="89" spans="1:16" ht="16.5" customHeight="1" thickBot="1">
      <c r="A89" s="300"/>
      <c r="B89" s="725"/>
      <c r="C89" s="686"/>
      <c r="D89" s="309" t="s">
        <v>515</v>
      </c>
      <c r="E89" s="238" t="s">
        <v>60</v>
      </c>
      <c r="F89" s="238">
        <f>1/40</f>
        <v>2.5000000000000001E-2</v>
      </c>
      <c r="G89" s="238">
        <f>IF(D88=J156,0,ROUNDUP((C88-C91)*F89,0)*C97)</f>
        <v>0</v>
      </c>
      <c r="H89" s="307"/>
    </row>
    <row r="90" spans="1:16" ht="16.5" customHeight="1" thickBot="1">
      <c r="A90" s="300"/>
      <c r="B90" s="725"/>
      <c r="C90" s="310" t="s">
        <v>806</v>
      </c>
      <c r="D90" s="303" t="s">
        <v>3</v>
      </c>
      <c r="E90" s="238" t="s">
        <v>8</v>
      </c>
      <c r="F90" s="238">
        <v>0.03</v>
      </c>
      <c r="G90" s="238">
        <f>ROUNDUP(C88*F90,0)*C97</f>
        <v>0</v>
      </c>
      <c r="H90" s="304"/>
    </row>
    <row r="91" spans="1:16" ht="16.5" customHeight="1">
      <c r="A91" s="300"/>
      <c r="B91" s="725"/>
      <c r="C91" s="685"/>
      <c r="D91" s="303" t="s">
        <v>2</v>
      </c>
      <c r="E91" s="238" t="s">
        <v>8</v>
      </c>
      <c r="F91" s="238">
        <v>0.02</v>
      </c>
      <c r="G91" s="238">
        <f>ROUNDUP(C88*F91,0)*C97</f>
        <v>0</v>
      </c>
      <c r="H91" s="304"/>
      <c r="J91" s="297" t="s">
        <v>70</v>
      </c>
    </row>
    <row r="92" spans="1:16" ht="16.5" customHeight="1" thickBot="1">
      <c r="A92" s="300"/>
      <c r="B92" s="725"/>
      <c r="C92" s="686"/>
      <c r="D92" s="303" t="s">
        <v>913</v>
      </c>
      <c r="E92" s="238" t="s">
        <v>6</v>
      </c>
      <c r="F92" s="238">
        <v>3</v>
      </c>
      <c r="G92" s="238">
        <f>ROUNDUP(C88/F92,0)*C97</f>
        <v>0</v>
      </c>
      <c r="H92" s="307"/>
      <c r="J92" s="297" t="s">
        <v>74</v>
      </c>
    </row>
    <row r="93" spans="1:16" ht="16.5" customHeight="1" thickBot="1">
      <c r="A93" s="300"/>
      <c r="B93" s="725"/>
      <c r="C93" s="305" t="s">
        <v>77</v>
      </c>
      <c r="D93" s="303" t="s">
        <v>91</v>
      </c>
      <c r="E93" s="238" t="s">
        <v>60</v>
      </c>
      <c r="F93" s="238">
        <v>50</v>
      </c>
      <c r="G93" s="238">
        <f>ROUNDUP(C88/F93,0)*C97</f>
        <v>0</v>
      </c>
      <c r="H93" s="307"/>
    </row>
    <row r="94" spans="1:16" ht="16.5" customHeight="1">
      <c r="A94" s="300"/>
      <c r="B94" s="725"/>
      <c r="C94" s="684"/>
      <c r="D94" s="303" t="s">
        <v>41</v>
      </c>
      <c r="E94" s="238" t="s">
        <v>44</v>
      </c>
      <c r="F94" s="238">
        <v>10</v>
      </c>
      <c r="G94" s="238">
        <f>ROUNDUP(C88/F94,0)*C97</f>
        <v>0</v>
      </c>
      <c r="H94" s="307"/>
      <c r="J94" s="297" t="s">
        <v>72</v>
      </c>
    </row>
    <row r="95" spans="1:16" ht="16.5" customHeight="1" thickBot="1">
      <c r="A95" s="300"/>
      <c r="B95" s="725"/>
      <c r="C95" s="686"/>
      <c r="D95" s="303" t="s">
        <v>517</v>
      </c>
      <c r="E95" s="238" t="s">
        <v>919</v>
      </c>
      <c r="F95" s="238">
        <v>50</v>
      </c>
      <c r="G95" s="238">
        <f>ROUNDUP(C88/F95,0)*C97</f>
        <v>0</v>
      </c>
      <c r="H95" s="307"/>
      <c r="J95" s="297" t="s">
        <v>75</v>
      </c>
    </row>
    <row r="96" spans="1:16" ht="16.5" customHeight="1" thickBot="1">
      <c r="A96" s="300"/>
      <c r="B96" s="725"/>
      <c r="C96" s="311" t="s">
        <v>541</v>
      </c>
      <c r="D96" s="312" t="s">
        <v>0</v>
      </c>
      <c r="E96" s="240" t="s">
        <v>60</v>
      </c>
      <c r="F96" s="240">
        <v>0.05</v>
      </c>
      <c r="G96" s="238">
        <f>ROUNDUP((F96*C91)*1000/400,0)*C97</f>
        <v>0</v>
      </c>
      <c r="H96" s="313"/>
    </row>
    <row r="97" spans="1:10" ht="16.5" customHeight="1">
      <c r="A97" s="300"/>
      <c r="B97" s="725"/>
      <c r="C97" s="684"/>
      <c r="D97" s="314" t="s">
        <v>79</v>
      </c>
      <c r="E97" s="238" t="str">
        <f>IF(D97="לחמניית צליאק","יח'","חב' של 3")</f>
        <v>יח'</v>
      </c>
      <c r="F97" s="238" t="str">
        <f>IF(D97="לחמניית צליאק","2","3")</f>
        <v>2</v>
      </c>
      <c r="G97" s="238">
        <f>ROUNDUP(C94*F97,0)*C97</f>
        <v>0</v>
      </c>
      <c r="H97" s="313"/>
      <c r="J97" s="297" t="s">
        <v>79</v>
      </c>
    </row>
    <row r="98" spans="1:10" ht="16.5" customHeight="1" thickBot="1">
      <c r="A98" s="300"/>
      <c r="B98" s="725"/>
      <c r="C98" s="686"/>
      <c r="D98" s="315" t="s">
        <v>23</v>
      </c>
      <c r="E98" s="240" t="s">
        <v>6</v>
      </c>
      <c r="F98" s="240">
        <v>10</v>
      </c>
      <c r="G98" s="240">
        <f>ROUNDUP(C88/F98,0)*C97</f>
        <v>0</v>
      </c>
      <c r="H98" s="313"/>
      <c r="J98" s="297" t="s">
        <v>80</v>
      </c>
    </row>
    <row r="99" spans="1:10" ht="16.5" customHeight="1">
      <c r="A99" s="300"/>
      <c r="B99" s="509"/>
      <c r="C99" s="234"/>
      <c r="D99" s="315" t="s">
        <v>509</v>
      </c>
      <c r="E99" s="240" t="s">
        <v>8</v>
      </c>
      <c r="F99" s="240">
        <v>35</v>
      </c>
      <c r="G99" s="240">
        <f>ROUNDUP(C88/F99,0)*C97</f>
        <v>0</v>
      </c>
      <c r="H99" s="313"/>
    </row>
    <row r="100" spans="1:10" ht="16.5" customHeight="1">
      <c r="A100" s="300"/>
      <c r="B100" s="510"/>
      <c r="C100" s="234"/>
      <c r="D100" s="316" t="s">
        <v>32</v>
      </c>
      <c r="E100" s="240" t="s">
        <v>6</v>
      </c>
      <c r="F100" s="240">
        <v>2</v>
      </c>
      <c r="G100" s="240">
        <f>ROUNDUP($C$10/F100,0)*C97</f>
        <v>0</v>
      </c>
      <c r="H100" s="313"/>
      <c r="J100" s="297" t="s">
        <v>546</v>
      </c>
    </row>
    <row r="101" spans="1:10" ht="16.5" customHeight="1">
      <c r="A101" s="300"/>
      <c r="B101" s="510"/>
      <c r="C101" s="234"/>
      <c r="D101" s="317" t="s">
        <v>33</v>
      </c>
      <c r="E101" s="240" t="s">
        <v>6</v>
      </c>
      <c r="F101" s="240">
        <v>2</v>
      </c>
      <c r="G101" s="240">
        <f>ROUNDUP($C$10/F101,0)*C97</f>
        <v>0</v>
      </c>
      <c r="H101" s="313"/>
      <c r="J101" s="297" t="s">
        <v>545</v>
      </c>
    </row>
    <row r="102" spans="1:10" ht="16.5" customHeight="1">
      <c r="A102" s="300"/>
      <c r="B102" s="510"/>
      <c r="C102" s="234"/>
      <c r="D102" s="317" t="s">
        <v>28</v>
      </c>
      <c r="E102" s="240" t="s">
        <v>6</v>
      </c>
      <c r="F102" s="240">
        <v>2</v>
      </c>
      <c r="G102" s="240">
        <f>ROUNDUP($C$10/F102,0)*C97</f>
        <v>0</v>
      </c>
      <c r="H102" s="313"/>
      <c r="J102" s="297" t="s">
        <v>88</v>
      </c>
    </row>
    <row r="103" spans="1:10" ht="16.5" customHeight="1">
      <c r="A103" s="300"/>
      <c r="B103" s="510"/>
      <c r="C103" s="234"/>
      <c r="D103" s="227" t="s">
        <v>615</v>
      </c>
      <c r="E103" s="240" t="s">
        <v>6</v>
      </c>
      <c r="F103" s="164">
        <f>3/100</f>
        <v>0.03</v>
      </c>
      <c r="G103" s="161">
        <f>ROUNDUP(C88*F103,0)*C97</f>
        <v>0</v>
      </c>
      <c r="H103" s="313"/>
      <c r="J103" s="297" t="s">
        <v>69</v>
      </c>
    </row>
    <row r="104" spans="1:10" ht="16.5" customHeight="1">
      <c r="A104" s="300"/>
      <c r="B104" s="510"/>
      <c r="C104" s="234"/>
      <c r="D104" s="317" t="s">
        <v>125</v>
      </c>
      <c r="E104" s="240" t="s">
        <v>6</v>
      </c>
      <c r="F104" s="240">
        <v>1.3</v>
      </c>
      <c r="G104" s="238">
        <f>IF(C85=J149,ROUNDUP($C$10*F104,0),0)*C97</f>
        <v>0</v>
      </c>
      <c r="H104" s="307"/>
      <c r="J104" s="216" t="s">
        <v>92</v>
      </c>
    </row>
    <row r="105" spans="1:10" ht="16.5" customHeight="1" thickBot="1">
      <c r="A105" s="300"/>
      <c r="B105" s="510"/>
      <c r="C105" s="234"/>
      <c r="D105" s="318" t="s">
        <v>34</v>
      </c>
      <c r="E105" s="241" t="s">
        <v>6</v>
      </c>
      <c r="F105" s="241">
        <v>40</v>
      </c>
      <c r="G105" s="241">
        <f>ROUNDUP($C$10/F105,0)*C97</f>
        <v>0</v>
      </c>
      <c r="H105" s="319"/>
    </row>
    <row r="106" spans="1:10" ht="16.5" customHeight="1">
      <c r="A106" s="300"/>
      <c r="B106" s="300"/>
      <c r="C106" s="234"/>
      <c r="D106" s="300"/>
      <c r="E106" s="300"/>
      <c r="F106" s="300"/>
      <c r="G106" s="300"/>
      <c r="H106" s="300"/>
    </row>
    <row r="107" spans="1:10" ht="16.5" customHeight="1">
      <c r="A107" s="300"/>
      <c r="B107" s="300"/>
      <c r="C107" s="234"/>
      <c r="D107" s="300"/>
      <c r="E107" s="300"/>
      <c r="F107" s="300"/>
      <c r="G107" s="300"/>
      <c r="H107" s="300"/>
    </row>
    <row r="108" spans="1:10" ht="16.5" customHeight="1">
      <c r="A108" s="300"/>
      <c r="B108" s="300"/>
      <c r="C108" s="234"/>
      <c r="D108" s="300"/>
      <c r="E108" s="300"/>
      <c r="F108" s="300"/>
      <c r="G108" s="300"/>
      <c r="H108" s="300"/>
    </row>
    <row r="109" spans="1:10" ht="16.5" customHeight="1">
      <c r="A109" s="300"/>
      <c r="B109" s="300"/>
      <c r="C109" s="234"/>
      <c r="D109" s="300"/>
      <c r="E109" s="300"/>
      <c r="F109" s="300"/>
      <c r="G109" s="300"/>
      <c r="H109" s="300"/>
    </row>
    <row r="110" spans="1:10" ht="16.5" customHeight="1">
      <c r="A110" s="300"/>
      <c r="B110" s="300"/>
      <c r="C110" s="234"/>
      <c r="D110" s="300"/>
      <c r="E110" s="300"/>
      <c r="F110" s="300"/>
      <c r="G110" s="300"/>
      <c r="H110" s="300"/>
    </row>
    <row r="111" spans="1:10" ht="16.5" customHeight="1">
      <c r="A111" s="300"/>
      <c r="B111" s="300"/>
      <c r="C111" s="234"/>
      <c r="D111" s="300"/>
      <c r="E111" s="300"/>
      <c r="F111" s="300"/>
      <c r="G111" s="300"/>
      <c r="H111" s="300"/>
    </row>
    <row r="112" spans="1:10" ht="16.5" customHeight="1">
      <c r="A112" s="300"/>
      <c r="B112" s="300"/>
      <c r="C112" s="234"/>
      <c r="D112" s="300"/>
      <c r="E112" s="300"/>
      <c r="F112" s="300"/>
      <c r="G112" s="300"/>
      <c r="H112" s="300"/>
    </row>
    <row r="113" spans="1:8" ht="16.5" customHeight="1">
      <c r="A113" s="300"/>
      <c r="B113" s="300"/>
      <c r="C113" s="234"/>
      <c r="D113" s="300"/>
      <c r="E113" s="300"/>
      <c r="F113" s="300"/>
      <c r="G113" s="300"/>
      <c r="H113" s="300"/>
    </row>
    <row r="114" spans="1:8" ht="16.5" customHeight="1">
      <c r="A114" s="300"/>
      <c r="B114" s="300"/>
      <c r="C114" s="234"/>
      <c r="D114" s="300"/>
      <c r="E114" s="300"/>
      <c r="F114" s="300"/>
      <c r="G114" s="300"/>
      <c r="H114" s="300"/>
    </row>
    <row r="115" spans="1:8" ht="16.5" customHeight="1">
      <c r="A115" s="300"/>
      <c r="B115" s="300"/>
      <c r="C115" s="234"/>
      <c r="D115" s="300"/>
      <c r="E115" s="300"/>
      <c r="F115" s="300"/>
      <c r="G115" s="300"/>
      <c r="H115" s="300"/>
    </row>
    <row r="116" spans="1:8" ht="16.5" customHeight="1">
      <c r="A116" s="300"/>
      <c r="B116" s="300"/>
      <c r="C116" s="234"/>
      <c r="D116" s="300"/>
      <c r="E116" s="300"/>
      <c r="F116" s="300"/>
      <c r="G116" s="300"/>
      <c r="H116" s="300"/>
    </row>
    <row r="117" spans="1:8" ht="16.5" customHeight="1">
      <c r="A117" s="300"/>
      <c r="B117" s="300"/>
      <c r="C117" s="234"/>
      <c r="D117" s="300"/>
      <c r="E117" s="300"/>
      <c r="F117" s="300"/>
      <c r="G117" s="300"/>
      <c r="H117" s="300"/>
    </row>
    <row r="118" spans="1:8" ht="16.5" customHeight="1">
      <c r="A118" s="300"/>
      <c r="B118" s="300"/>
      <c r="C118" s="234"/>
      <c r="D118" s="300"/>
      <c r="E118" s="300"/>
      <c r="F118" s="300"/>
      <c r="G118" s="300"/>
      <c r="H118" s="300"/>
    </row>
    <row r="119" spans="1:8" ht="16.5" customHeight="1">
      <c r="A119" s="300"/>
      <c r="B119" s="300"/>
      <c r="C119" s="234"/>
      <c r="D119" s="300"/>
      <c r="E119" s="300"/>
      <c r="F119" s="300"/>
      <c r="G119" s="300"/>
      <c r="H119" s="300"/>
    </row>
    <row r="120" spans="1:8" ht="16.5" customHeight="1">
      <c r="A120" s="300"/>
      <c r="B120" s="300"/>
      <c r="C120" s="234"/>
      <c r="D120" s="300"/>
      <c r="E120" s="300"/>
      <c r="F120" s="300"/>
      <c r="G120" s="300"/>
      <c r="H120" s="300"/>
    </row>
    <row r="121" spans="1:8" ht="16.5" customHeight="1">
      <c r="A121" s="300"/>
      <c r="B121" s="300"/>
      <c r="C121" s="234"/>
      <c r="D121" s="300"/>
      <c r="E121" s="300"/>
      <c r="F121" s="300"/>
      <c r="G121" s="300"/>
      <c r="H121" s="300"/>
    </row>
    <row r="122" spans="1:8" ht="16.5" customHeight="1">
      <c r="A122" s="300"/>
      <c r="B122" s="300"/>
      <c r="C122" s="234"/>
      <c r="D122" s="300"/>
      <c r="E122" s="300"/>
      <c r="F122" s="300"/>
      <c r="G122" s="300"/>
      <c r="H122" s="300"/>
    </row>
    <row r="123" spans="1:8" ht="16.5" customHeight="1">
      <c r="A123" s="300"/>
      <c r="B123" s="300"/>
      <c r="C123" s="234"/>
      <c r="D123" s="300"/>
      <c r="E123" s="300"/>
      <c r="F123" s="300"/>
      <c r="G123" s="300"/>
      <c r="H123" s="300"/>
    </row>
    <row r="124" spans="1:8" ht="16.5" customHeight="1">
      <c r="A124" s="300"/>
      <c r="B124" s="300"/>
      <c r="C124" s="234"/>
      <c r="D124" s="300"/>
      <c r="E124" s="300"/>
      <c r="F124" s="300"/>
      <c r="G124" s="300"/>
      <c r="H124" s="300"/>
    </row>
    <row r="125" spans="1:8" ht="16.5" customHeight="1">
      <c r="A125" s="300"/>
      <c r="B125" s="300"/>
      <c r="C125" s="234"/>
      <c r="D125" s="300"/>
      <c r="E125" s="300"/>
      <c r="F125" s="300"/>
      <c r="G125" s="300"/>
      <c r="H125" s="300"/>
    </row>
    <row r="126" spans="1:8" ht="16.5" customHeight="1">
      <c r="A126" s="300"/>
      <c r="B126" s="300"/>
      <c r="C126" s="234"/>
      <c r="D126" s="300"/>
      <c r="E126" s="300"/>
      <c r="F126" s="300"/>
      <c r="G126" s="300"/>
      <c r="H126" s="300"/>
    </row>
    <row r="127" spans="1:8" ht="16.5" customHeight="1">
      <c r="A127" s="300"/>
      <c r="B127" s="300"/>
      <c r="C127" s="234"/>
      <c r="D127" s="300"/>
      <c r="E127" s="300"/>
      <c r="F127" s="300"/>
      <c r="G127" s="300"/>
      <c r="H127" s="300"/>
    </row>
    <row r="128" spans="1:8" ht="16.5" customHeight="1">
      <c r="A128" s="300"/>
      <c r="B128" s="300"/>
      <c r="C128" s="234"/>
      <c r="D128" s="300"/>
      <c r="E128" s="300"/>
      <c r="F128" s="300"/>
      <c r="G128" s="300"/>
      <c r="H128" s="300"/>
    </row>
    <row r="129" spans="1:8" ht="16.5" customHeight="1">
      <c r="A129" s="300"/>
      <c r="B129" s="300"/>
      <c r="C129" s="234"/>
      <c r="D129" s="300"/>
      <c r="E129" s="300"/>
      <c r="F129" s="300"/>
      <c r="G129" s="300"/>
      <c r="H129" s="300"/>
    </row>
    <row r="130" spans="1:8" ht="16.5" customHeight="1">
      <c r="A130" s="300"/>
      <c r="B130" s="300"/>
      <c r="C130" s="234"/>
      <c r="D130" s="300"/>
      <c r="E130" s="300"/>
      <c r="F130" s="300"/>
      <c r="G130" s="300"/>
      <c r="H130" s="300"/>
    </row>
    <row r="131" spans="1:8" ht="16.5" customHeight="1">
      <c r="A131" s="300"/>
      <c r="B131" s="300"/>
      <c r="C131" s="234"/>
      <c r="D131" s="300"/>
      <c r="E131" s="300"/>
      <c r="F131" s="300"/>
      <c r="G131" s="300"/>
      <c r="H131" s="300"/>
    </row>
    <row r="132" spans="1:8" ht="16.5" customHeight="1">
      <c r="A132" s="300"/>
      <c r="B132" s="300"/>
      <c r="C132" s="234"/>
      <c r="D132" s="300"/>
      <c r="E132" s="300"/>
      <c r="F132" s="300"/>
      <c r="G132" s="300"/>
      <c r="H132" s="300"/>
    </row>
    <row r="133" spans="1:8" ht="16.5" customHeight="1">
      <c r="A133" s="300"/>
      <c r="B133" s="300"/>
      <c r="C133" s="234"/>
      <c r="D133" s="300"/>
      <c r="E133" s="300"/>
      <c r="F133" s="300"/>
      <c r="G133" s="300"/>
      <c r="H133" s="300"/>
    </row>
    <row r="134" spans="1:8" ht="16.5" customHeight="1">
      <c r="A134" s="300"/>
      <c r="B134" s="300"/>
      <c r="C134" s="234"/>
      <c r="D134" s="300"/>
      <c r="E134" s="300"/>
      <c r="F134" s="300"/>
      <c r="G134" s="300"/>
      <c r="H134" s="300"/>
    </row>
    <row r="135" spans="1:8" ht="16.5" customHeight="1">
      <c r="A135" s="300"/>
      <c r="B135" s="300"/>
      <c r="C135" s="234"/>
      <c r="D135" s="300"/>
      <c r="E135" s="300"/>
      <c r="F135" s="300"/>
      <c r="G135" s="300"/>
      <c r="H135" s="300"/>
    </row>
    <row r="136" spans="1:8" ht="16.5" customHeight="1">
      <c r="A136" s="300"/>
      <c r="B136" s="300"/>
      <c r="C136" s="234"/>
      <c r="D136" s="300"/>
      <c r="E136" s="300"/>
      <c r="F136" s="300"/>
      <c r="G136" s="300"/>
      <c r="H136" s="300"/>
    </row>
    <row r="137" spans="1:8" ht="16.5" customHeight="1">
      <c r="A137" s="300"/>
      <c r="B137" s="300"/>
      <c r="C137" s="234"/>
      <c r="D137" s="300"/>
      <c r="E137" s="300"/>
      <c r="F137" s="300"/>
      <c r="G137" s="300"/>
      <c r="H137" s="300"/>
    </row>
    <row r="138" spans="1:8" ht="16.5" customHeight="1">
      <c r="A138" s="300"/>
      <c r="B138" s="300"/>
      <c r="C138" s="234"/>
      <c r="D138" s="300"/>
      <c r="E138" s="300"/>
      <c r="F138" s="300"/>
      <c r="G138" s="300"/>
      <c r="H138" s="300"/>
    </row>
    <row r="139" spans="1:8" ht="16.5" customHeight="1">
      <c r="A139" s="300"/>
      <c r="B139" s="300"/>
      <c r="C139" s="234"/>
      <c r="D139" s="300"/>
      <c r="E139" s="300"/>
      <c r="F139" s="300"/>
      <c r="G139" s="300"/>
      <c r="H139" s="300"/>
    </row>
    <row r="140" spans="1:8" ht="16.5" customHeight="1">
      <c r="A140" s="300"/>
      <c r="B140" s="300"/>
      <c r="C140" s="234"/>
      <c r="D140" s="300"/>
      <c r="E140" s="300"/>
      <c r="F140" s="300"/>
      <c r="G140" s="300"/>
      <c r="H140" s="300"/>
    </row>
    <row r="141" spans="1:8" ht="16.5" customHeight="1">
      <c r="A141" s="300"/>
      <c r="B141" s="300"/>
      <c r="C141" s="234"/>
      <c r="D141" s="300"/>
      <c r="E141" s="300"/>
      <c r="F141" s="300"/>
      <c r="G141" s="300"/>
      <c r="H141" s="300"/>
    </row>
    <row r="142" spans="1:8" ht="16.5" customHeight="1">
      <c r="A142" s="300"/>
      <c r="B142" s="300"/>
      <c r="C142" s="234"/>
      <c r="D142" s="300"/>
      <c r="E142" s="300"/>
      <c r="F142" s="300"/>
      <c r="G142" s="300"/>
      <c r="H142" s="300"/>
    </row>
    <row r="143" spans="1:8" ht="16.5" customHeight="1">
      <c r="A143" s="300"/>
      <c r="B143" s="300"/>
      <c r="C143" s="234"/>
      <c r="D143" s="300"/>
      <c r="E143" s="300"/>
      <c r="F143" s="300"/>
      <c r="G143" s="300"/>
      <c r="H143" s="300"/>
    </row>
    <row r="144" spans="1:8" ht="16.5" customHeight="1">
      <c r="A144" s="300"/>
      <c r="B144" s="300"/>
      <c r="C144" s="234"/>
      <c r="D144" s="300"/>
      <c r="E144" s="300"/>
      <c r="F144" s="300"/>
      <c r="G144" s="300"/>
      <c r="H144" s="300"/>
    </row>
    <row r="145" spans="1:8" ht="16.5" customHeight="1">
      <c r="A145" s="300"/>
      <c r="B145" s="300"/>
      <c r="C145" s="234"/>
      <c r="D145" s="300"/>
      <c r="E145" s="300"/>
      <c r="F145" s="300"/>
      <c r="G145" s="300"/>
      <c r="H145" s="300"/>
    </row>
    <row r="146" spans="1:8" ht="16.5" customHeight="1">
      <c r="A146" s="300"/>
      <c r="B146" s="300"/>
      <c r="C146" s="234"/>
      <c r="D146" s="300"/>
      <c r="E146" s="300"/>
      <c r="F146" s="300"/>
      <c r="G146" s="300"/>
      <c r="H146" s="300"/>
    </row>
    <row r="147" spans="1:8" ht="16.5" customHeight="1">
      <c r="A147" s="300"/>
      <c r="B147" s="300"/>
      <c r="C147" s="234"/>
      <c r="D147" s="300"/>
      <c r="E147" s="300"/>
      <c r="F147" s="300"/>
      <c r="G147" s="300"/>
      <c r="H147" s="300"/>
    </row>
    <row r="148" spans="1:8" ht="16.5" customHeight="1">
      <c r="A148" s="300"/>
      <c r="B148" s="300"/>
      <c r="C148" s="234"/>
      <c r="D148" s="300"/>
      <c r="E148" s="300"/>
      <c r="F148" s="300"/>
      <c r="G148" s="300"/>
      <c r="H148" s="300"/>
    </row>
    <row r="149" spans="1:8" ht="16.5" customHeight="1">
      <c r="A149" s="300"/>
      <c r="B149" s="300"/>
      <c r="C149" s="234"/>
      <c r="D149" s="300"/>
      <c r="E149" s="300"/>
      <c r="F149" s="300"/>
      <c r="G149" s="300"/>
      <c r="H149" s="300"/>
    </row>
    <row r="150" spans="1:8" ht="16.5" customHeight="1">
      <c r="A150" s="300"/>
      <c r="B150" s="300"/>
      <c r="C150" s="234"/>
      <c r="D150" s="300"/>
      <c r="E150" s="300"/>
      <c r="F150" s="300"/>
      <c r="G150" s="300"/>
      <c r="H150" s="300"/>
    </row>
    <row r="151" spans="1:8" ht="16.5" customHeight="1">
      <c r="A151" s="300"/>
      <c r="B151" s="300"/>
      <c r="C151" s="234"/>
      <c r="D151" s="300"/>
      <c r="E151" s="300"/>
      <c r="F151" s="300"/>
      <c r="G151" s="300"/>
      <c r="H151" s="300"/>
    </row>
    <row r="152" spans="1:8" ht="16.5" customHeight="1">
      <c r="A152" s="300"/>
      <c r="B152" s="300"/>
      <c r="C152" s="234"/>
      <c r="D152" s="300"/>
      <c r="E152" s="300"/>
      <c r="F152" s="300"/>
      <c r="G152" s="300"/>
      <c r="H152" s="300"/>
    </row>
    <row r="153" spans="1:8" ht="16.5" customHeight="1">
      <c r="A153" s="300"/>
      <c r="B153" s="300"/>
      <c r="C153" s="234"/>
      <c r="D153" s="300"/>
      <c r="E153" s="300"/>
      <c r="F153" s="300"/>
      <c r="G153" s="300"/>
      <c r="H153" s="300"/>
    </row>
    <row r="154" spans="1:8" ht="16.5" customHeight="1">
      <c r="A154" s="300"/>
      <c r="B154" s="300"/>
      <c r="C154" s="234"/>
      <c r="D154" s="300"/>
      <c r="E154" s="300"/>
      <c r="F154" s="300"/>
      <c r="G154" s="300"/>
      <c r="H154" s="300"/>
    </row>
    <row r="155" spans="1:8" ht="16.5" customHeight="1">
      <c r="A155" s="300"/>
      <c r="B155" s="300"/>
      <c r="C155" s="234"/>
      <c r="D155" s="300"/>
      <c r="E155" s="300"/>
      <c r="F155" s="300"/>
      <c r="G155" s="300"/>
      <c r="H155" s="300"/>
    </row>
    <row r="156" spans="1:8" ht="16.5" customHeight="1">
      <c r="A156" s="300"/>
      <c r="B156" s="300"/>
      <c r="C156" s="234"/>
      <c r="D156" s="300"/>
      <c r="E156" s="300"/>
      <c r="F156" s="300"/>
      <c r="G156" s="300"/>
      <c r="H156" s="300"/>
    </row>
    <row r="157" spans="1:8" ht="16.5" customHeight="1">
      <c r="A157" s="300"/>
      <c r="B157" s="300"/>
      <c r="C157" s="234"/>
      <c r="D157" s="300"/>
      <c r="E157" s="300"/>
      <c r="F157" s="300"/>
      <c r="G157" s="300"/>
      <c r="H157" s="300"/>
    </row>
    <row r="158" spans="1:8" ht="16.5" customHeight="1">
      <c r="A158" s="300"/>
      <c r="B158" s="300"/>
      <c r="C158" s="234"/>
      <c r="D158" s="300"/>
      <c r="E158" s="300"/>
      <c r="F158" s="300"/>
      <c r="G158" s="300"/>
      <c r="H158" s="300"/>
    </row>
    <row r="159" spans="1:8" ht="16.5" customHeight="1">
      <c r="A159" s="300"/>
      <c r="B159" s="300"/>
      <c r="C159" s="234"/>
      <c r="D159" s="300"/>
      <c r="E159" s="300"/>
      <c r="F159" s="300"/>
      <c r="G159" s="300"/>
      <c r="H159" s="300"/>
    </row>
    <row r="160" spans="1:8" ht="16.5" customHeight="1">
      <c r="A160" s="300"/>
      <c r="B160" s="300"/>
      <c r="C160" s="234"/>
      <c r="D160" s="300"/>
      <c r="E160" s="300"/>
      <c r="F160" s="300"/>
      <c r="G160" s="300"/>
      <c r="H160" s="300"/>
    </row>
    <row r="161" spans="1:8" ht="16.5" customHeight="1">
      <c r="A161" s="300"/>
      <c r="B161" s="300"/>
      <c r="C161" s="234"/>
      <c r="D161" s="300"/>
      <c r="E161" s="300"/>
      <c r="F161" s="300"/>
      <c r="G161" s="300"/>
      <c r="H161" s="300"/>
    </row>
    <row r="162" spans="1:8" ht="16.5" customHeight="1">
      <c r="A162" s="300"/>
      <c r="B162" s="300"/>
      <c r="C162" s="234"/>
      <c r="D162" s="300"/>
      <c r="E162" s="300"/>
      <c r="F162" s="300"/>
      <c r="G162" s="300"/>
      <c r="H162" s="300"/>
    </row>
    <row r="163" spans="1:8" ht="16.5" customHeight="1">
      <c r="A163" s="300"/>
      <c r="B163" s="300"/>
      <c r="C163" s="234"/>
      <c r="D163" s="300"/>
      <c r="E163" s="300"/>
      <c r="F163" s="300"/>
      <c r="G163" s="300"/>
      <c r="H163" s="300"/>
    </row>
    <row r="164" spans="1:8" ht="16.5" customHeight="1">
      <c r="A164" s="300"/>
      <c r="B164" s="300"/>
      <c r="C164" s="234"/>
      <c r="D164" s="300"/>
      <c r="E164" s="300"/>
      <c r="F164" s="300"/>
      <c r="G164" s="300"/>
      <c r="H164" s="300"/>
    </row>
    <row r="165" spans="1:8" ht="16.5" customHeight="1">
      <c r="A165" s="300"/>
      <c r="B165" s="300"/>
      <c r="C165" s="234"/>
      <c r="D165" s="300"/>
      <c r="E165" s="300"/>
      <c r="F165" s="300"/>
      <c r="G165" s="300"/>
      <c r="H165" s="300"/>
    </row>
    <row r="166" spans="1:8" ht="16.5" customHeight="1">
      <c r="A166" s="300"/>
      <c r="B166" s="300"/>
      <c r="C166" s="234"/>
      <c r="D166" s="300"/>
      <c r="E166" s="300"/>
      <c r="F166" s="300"/>
      <c r="G166" s="300"/>
      <c r="H166" s="300"/>
    </row>
    <row r="167" spans="1:8" ht="16.5" customHeight="1">
      <c r="A167" s="300"/>
      <c r="B167" s="300"/>
      <c r="C167" s="234"/>
      <c r="D167" s="300"/>
      <c r="E167" s="300"/>
      <c r="F167" s="300"/>
      <c r="G167" s="300"/>
      <c r="H167" s="300"/>
    </row>
    <row r="168" spans="1:8" ht="16.5" customHeight="1">
      <c r="A168" s="300"/>
      <c r="B168" s="300"/>
      <c r="C168" s="234"/>
      <c r="D168" s="300"/>
      <c r="E168" s="300"/>
      <c r="F168" s="300"/>
      <c r="G168" s="300"/>
      <c r="H168" s="300"/>
    </row>
    <row r="169" spans="1:8" ht="16.5" customHeight="1">
      <c r="A169" s="300"/>
      <c r="B169" s="300"/>
      <c r="C169" s="234"/>
      <c r="D169" s="300"/>
      <c r="E169" s="300"/>
      <c r="F169" s="300"/>
      <c r="G169" s="300"/>
      <c r="H169" s="300"/>
    </row>
    <row r="170" spans="1:8" ht="16.5" customHeight="1">
      <c r="A170" s="300"/>
      <c r="B170" s="300"/>
      <c r="C170" s="234"/>
      <c r="D170" s="300"/>
      <c r="E170" s="300"/>
      <c r="F170" s="300"/>
      <c r="G170" s="300"/>
      <c r="H170" s="300"/>
    </row>
    <row r="171" spans="1:8" ht="16.5" customHeight="1">
      <c r="A171" s="300"/>
      <c r="B171" s="300"/>
      <c r="C171" s="234"/>
      <c r="D171" s="300"/>
      <c r="E171" s="300"/>
      <c r="F171" s="300"/>
      <c r="G171" s="300"/>
      <c r="H171" s="300"/>
    </row>
    <row r="172" spans="1:8" ht="16.5" customHeight="1">
      <c r="A172" s="300"/>
      <c r="B172" s="300"/>
      <c r="C172" s="234"/>
      <c r="D172" s="300"/>
      <c r="E172" s="300"/>
      <c r="F172" s="300"/>
      <c r="G172" s="300"/>
      <c r="H172" s="300"/>
    </row>
    <row r="173" spans="1:8" ht="16.5" customHeight="1">
      <c r="A173" s="300"/>
      <c r="B173" s="300"/>
      <c r="C173" s="234"/>
      <c r="D173" s="300"/>
      <c r="E173" s="300"/>
      <c r="F173" s="300"/>
      <c r="G173" s="300"/>
      <c r="H173" s="300"/>
    </row>
    <row r="174" spans="1:8" ht="16.5" customHeight="1">
      <c r="A174" s="300"/>
      <c r="B174" s="300"/>
      <c r="C174" s="234"/>
      <c r="D174" s="300"/>
      <c r="E174" s="300"/>
      <c r="F174" s="300"/>
      <c r="G174" s="300"/>
      <c r="H174" s="300"/>
    </row>
    <row r="175" spans="1:8" ht="16.5" customHeight="1">
      <c r="A175" s="300"/>
      <c r="B175" s="300"/>
      <c r="C175" s="234"/>
      <c r="D175" s="300"/>
      <c r="E175" s="300"/>
      <c r="F175" s="300"/>
      <c r="G175" s="300"/>
      <c r="H175" s="300"/>
    </row>
    <row r="176" spans="1:8" ht="16.5" customHeight="1">
      <c r="A176" s="300"/>
      <c r="B176" s="300"/>
      <c r="C176" s="234"/>
      <c r="D176" s="300"/>
      <c r="E176" s="300"/>
      <c r="F176" s="300"/>
      <c r="G176" s="300"/>
      <c r="H176" s="300"/>
    </row>
    <row r="177" spans="1:8" ht="16.5" customHeight="1">
      <c r="A177" s="300"/>
      <c r="B177" s="300"/>
      <c r="C177" s="234"/>
      <c r="D177" s="300"/>
      <c r="E177" s="300"/>
      <c r="F177" s="300"/>
      <c r="G177" s="300"/>
      <c r="H177" s="300"/>
    </row>
    <row r="178" spans="1:8" ht="16.5" customHeight="1">
      <c r="A178" s="300"/>
      <c r="B178" s="300"/>
      <c r="C178" s="234"/>
      <c r="D178" s="300"/>
      <c r="E178" s="300"/>
      <c r="F178" s="300"/>
      <c r="G178" s="300"/>
      <c r="H178" s="300"/>
    </row>
    <row r="179" spans="1:8" ht="16.5" customHeight="1">
      <c r="A179" s="300"/>
      <c r="B179" s="300"/>
      <c r="C179" s="234"/>
      <c r="D179" s="300"/>
      <c r="E179" s="300"/>
      <c r="F179" s="300"/>
      <c r="G179" s="300"/>
      <c r="H179" s="300"/>
    </row>
    <row r="180" spans="1:8" ht="16.5" customHeight="1">
      <c r="A180" s="300"/>
      <c r="B180" s="300"/>
      <c r="C180" s="234"/>
      <c r="D180" s="300"/>
      <c r="E180" s="300"/>
      <c r="F180" s="300"/>
      <c r="G180" s="300"/>
      <c r="H180" s="300"/>
    </row>
    <row r="181" spans="1:8" ht="16.5" customHeight="1">
      <c r="A181" s="300"/>
      <c r="B181" s="300"/>
      <c r="C181" s="234"/>
      <c r="D181" s="300"/>
      <c r="E181" s="300"/>
      <c r="F181" s="300"/>
      <c r="G181" s="300"/>
      <c r="H181" s="300"/>
    </row>
    <row r="182" spans="1:8" ht="16.5" customHeight="1">
      <c r="A182" s="300"/>
      <c r="B182" s="300"/>
      <c r="C182" s="234"/>
      <c r="D182" s="300"/>
      <c r="E182" s="300"/>
      <c r="F182" s="300"/>
      <c r="G182" s="300"/>
      <c r="H182" s="300"/>
    </row>
    <row r="183" spans="1:8" ht="16.5" customHeight="1">
      <c r="A183" s="300"/>
      <c r="B183" s="300"/>
      <c r="C183" s="234"/>
      <c r="D183" s="300"/>
      <c r="E183" s="300"/>
      <c r="F183" s="300"/>
      <c r="G183" s="300"/>
      <c r="H183" s="300"/>
    </row>
    <row r="184" spans="1:8" ht="16.5" customHeight="1">
      <c r="A184" s="300"/>
      <c r="B184" s="300"/>
      <c r="C184" s="234"/>
      <c r="D184" s="300"/>
      <c r="E184" s="300"/>
      <c r="F184" s="300"/>
      <c r="G184" s="300"/>
      <c r="H184" s="300"/>
    </row>
    <row r="185" spans="1:8" ht="16.5" customHeight="1">
      <c r="A185" s="300"/>
      <c r="B185" s="300"/>
      <c r="C185" s="234"/>
      <c r="D185" s="300"/>
      <c r="E185" s="300"/>
      <c r="F185" s="300"/>
      <c r="G185" s="300"/>
      <c r="H185" s="300"/>
    </row>
    <row r="186" spans="1:8" ht="16.5" customHeight="1">
      <c r="A186" s="300"/>
      <c r="B186" s="300"/>
      <c r="C186" s="234"/>
      <c r="D186" s="300"/>
      <c r="E186" s="300"/>
      <c r="F186" s="300"/>
      <c r="G186" s="300"/>
      <c r="H186" s="300"/>
    </row>
    <row r="187" spans="1:8" ht="16.5" customHeight="1">
      <c r="A187" s="300"/>
      <c r="B187" s="300"/>
      <c r="C187" s="234"/>
      <c r="D187" s="300"/>
      <c r="E187" s="300"/>
      <c r="F187" s="300"/>
      <c r="G187" s="300"/>
      <c r="H187" s="300"/>
    </row>
    <row r="188" spans="1:8" ht="16.5" customHeight="1">
      <c r="A188" s="300"/>
      <c r="B188" s="300"/>
      <c r="C188" s="234"/>
      <c r="D188" s="300"/>
      <c r="E188" s="300"/>
      <c r="F188" s="300"/>
      <c r="G188" s="300"/>
      <c r="H188" s="300"/>
    </row>
    <row r="189" spans="1:8" ht="16.5" customHeight="1">
      <c r="A189" s="300"/>
      <c r="B189" s="300"/>
      <c r="C189" s="234"/>
      <c r="D189" s="300"/>
      <c r="E189" s="300"/>
      <c r="F189" s="300"/>
      <c r="G189" s="300"/>
      <c r="H189" s="300"/>
    </row>
    <row r="190" spans="1:8" ht="16.5" customHeight="1">
      <c r="A190" s="300"/>
      <c r="B190" s="300"/>
      <c r="C190" s="234"/>
      <c r="D190" s="300"/>
      <c r="E190" s="300"/>
      <c r="F190" s="300"/>
      <c r="G190" s="300"/>
      <c r="H190" s="300"/>
    </row>
    <row r="191" spans="1:8" ht="16.5" customHeight="1">
      <c r="A191" s="300"/>
      <c r="B191" s="300"/>
      <c r="C191" s="234"/>
      <c r="D191" s="300"/>
      <c r="E191" s="300"/>
      <c r="F191" s="300"/>
      <c r="G191" s="300"/>
      <c r="H191" s="300"/>
    </row>
    <row r="192" spans="1:8" ht="16.5" customHeight="1">
      <c r="A192" s="300"/>
      <c r="B192" s="300"/>
      <c r="C192" s="234"/>
      <c r="D192" s="300"/>
      <c r="E192" s="300"/>
      <c r="F192" s="300"/>
      <c r="G192" s="300"/>
      <c r="H192" s="300"/>
    </row>
    <row r="193" spans="1:8" ht="16.5" customHeight="1">
      <c r="A193" s="300"/>
      <c r="B193" s="300"/>
      <c r="C193" s="234"/>
      <c r="D193" s="300"/>
      <c r="E193" s="300"/>
      <c r="F193" s="300"/>
      <c r="G193" s="300"/>
      <c r="H193" s="300"/>
    </row>
    <row r="194" spans="1:8" ht="16.5" customHeight="1">
      <c r="A194" s="300"/>
      <c r="B194" s="300"/>
      <c r="C194" s="234"/>
      <c r="D194" s="300"/>
      <c r="E194" s="300"/>
      <c r="F194" s="300"/>
      <c r="G194" s="300"/>
      <c r="H194" s="300"/>
    </row>
    <row r="195" spans="1:8" ht="16.5" customHeight="1">
      <c r="A195" s="300"/>
      <c r="B195" s="300"/>
      <c r="C195" s="234"/>
      <c r="D195" s="300"/>
      <c r="E195" s="300"/>
      <c r="F195" s="300"/>
      <c r="G195" s="300"/>
      <c r="H195" s="300"/>
    </row>
    <row r="196" spans="1:8" ht="16.5" customHeight="1">
      <c r="A196" s="300"/>
      <c r="B196" s="300"/>
      <c r="C196" s="234"/>
      <c r="D196" s="300"/>
      <c r="E196" s="300"/>
      <c r="F196" s="300"/>
      <c r="G196" s="300"/>
      <c r="H196" s="300"/>
    </row>
    <row r="197" spans="1:8" ht="16.5" customHeight="1">
      <c r="A197" s="300"/>
      <c r="B197" s="300"/>
      <c r="C197" s="234"/>
      <c r="D197" s="300"/>
      <c r="E197" s="300"/>
      <c r="F197" s="300"/>
      <c r="G197" s="300"/>
      <c r="H197" s="300"/>
    </row>
    <row r="198" spans="1:8" ht="16.5" customHeight="1">
      <c r="A198" s="300"/>
      <c r="B198" s="300"/>
      <c r="C198" s="234"/>
      <c r="D198" s="300"/>
      <c r="E198" s="300"/>
      <c r="F198" s="300"/>
      <c r="G198" s="300"/>
      <c r="H198" s="300"/>
    </row>
    <row r="199" spans="1:8" ht="16.5" customHeight="1">
      <c r="A199" s="300"/>
      <c r="B199" s="300"/>
      <c r="C199" s="234"/>
      <c r="D199" s="300"/>
      <c r="E199" s="300"/>
      <c r="F199" s="300"/>
      <c r="G199" s="300"/>
      <c r="H199" s="300"/>
    </row>
    <row r="200" spans="1:8" ht="16.5" customHeight="1">
      <c r="A200" s="300"/>
      <c r="B200" s="300"/>
      <c r="C200" s="234"/>
      <c r="D200" s="300"/>
      <c r="E200" s="300"/>
      <c r="F200" s="300"/>
      <c r="G200" s="300"/>
      <c r="H200" s="300"/>
    </row>
    <row r="201" spans="1:8" ht="16.5" customHeight="1">
      <c r="A201" s="300"/>
      <c r="B201" s="300"/>
      <c r="C201" s="234"/>
      <c r="D201" s="300"/>
      <c r="E201" s="300"/>
      <c r="F201" s="300"/>
      <c r="G201" s="300"/>
      <c r="H201" s="300"/>
    </row>
    <row r="202" spans="1:8" ht="16.5" customHeight="1">
      <c r="A202" s="300"/>
      <c r="B202" s="300"/>
      <c r="C202" s="234"/>
      <c r="D202" s="300"/>
      <c r="E202" s="300"/>
      <c r="F202" s="300"/>
      <c r="G202" s="300"/>
      <c r="H202" s="300"/>
    </row>
    <row r="203" spans="1:8" ht="16.5" customHeight="1">
      <c r="A203" s="300"/>
      <c r="B203" s="300"/>
      <c r="C203" s="234"/>
      <c r="D203" s="300"/>
      <c r="E203" s="300"/>
      <c r="F203" s="300"/>
      <c r="G203" s="300"/>
      <c r="H203" s="300"/>
    </row>
    <row r="204" spans="1:8" ht="16.5" customHeight="1">
      <c r="A204" s="300"/>
      <c r="B204" s="300"/>
      <c r="C204" s="234"/>
      <c r="D204" s="300"/>
      <c r="E204" s="300"/>
      <c r="F204" s="300"/>
      <c r="G204" s="300"/>
      <c r="H204" s="300"/>
    </row>
    <row r="205" spans="1:8" ht="16.5" customHeight="1">
      <c r="A205" s="300"/>
      <c r="B205" s="300"/>
      <c r="C205" s="234"/>
      <c r="D205" s="300"/>
      <c r="E205" s="300"/>
      <c r="F205" s="300"/>
      <c r="G205" s="300"/>
      <c r="H205" s="300"/>
    </row>
    <row r="206" spans="1:8" ht="16.5" customHeight="1">
      <c r="A206" s="300"/>
      <c r="B206" s="300"/>
      <c r="C206" s="234"/>
      <c r="D206" s="300"/>
      <c r="E206" s="300"/>
      <c r="F206" s="300"/>
      <c r="G206" s="300"/>
      <c r="H206" s="300"/>
    </row>
    <row r="207" spans="1:8" ht="16.5" customHeight="1">
      <c r="A207" s="300"/>
      <c r="B207" s="300"/>
      <c r="C207" s="234"/>
      <c r="D207" s="300"/>
      <c r="E207" s="300"/>
      <c r="F207" s="300"/>
      <c r="G207" s="300"/>
      <c r="H207" s="300"/>
    </row>
    <row r="208" spans="1:8" ht="16.5" customHeight="1">
      <c r="A208" s="300"/>
      <c r="B208" s="300"/>
      <c r="C208" s="234"/>
      <c r="D208" s="300"/>
      <c r="E208" s="300"/>
      <c r="F208" s="300"/>
      <c r="G208" s="300"/>
      <c r="H208" s="300"/>
    </row>
    <row r="209" spans="1:2" ht="16.5" customHeight="1">
      <c r="A209" s="300"/>
      <c r="B209" s="300"/>
    </row>
  </sheetData>
  <mergeCells count="52">
    <mergeCell ref="B4:B20"/>
    <mergeCell ref="C10:C11"/>
    <mergeCell ref="C13:C14"/>
    <mergeCell ref="H31:H32"/>
    <mergeCell ref="G31:G32"/>
    <mergeCell ref="C16:C17"/>
    <mergeCell ref="C19:C20"/>
    <mergeCell ref="C4:H4"/>
    <mergeCell ref="C5:C6"/>
    <mergeCell ref="H5:H6"/>
    <mergeCell ref="C7:C8"/>
    <mergeCell ref="G5:G6"/>
    <mergeCell ref="D5:D6"/>
    <mergeCell ref="E5:E6"/>
    <mergeCell ref="F5:F6"/>
    <mergeCell ref="B30:B46"/>
    <mergeCell ref="C30:H30"/>
    <mergeCell ref="C31:C32"/>
    <mergeCell ref="C33:C34"/>
    <mergeCell ref="C36:C37"/>
    <mergeCell ref="C39:C40"/>
    <mergeCell ref="C42:C43"/>
    <mergeCell ref="C45:C46"/>
    <mergeCell ref="E31:E32"/>
    <mergeCell ref="F31:F32"/>
    <mergeCell ref="D31:D32"/>
    <mergeCell ref="B56:B72"/>
    <mergeCell ref="C56:H56"/>
    <mergeCell ref="C57:C58"/>
    <mergeCell ref="C62:C63"/>
    <mergeCell ref="C65:C66"/>
    <mergeCell ref="C68:C69"/>
    <mergeCell ref="C71:C72"/>
    <mergeCell ref="H57:H58"/>
    <mergeCell ref="D57:D58"/>
    <mergeCell ref="E57:E58"/>
    <mergeCell ref="F57:F58"/>
    <mergeCell ref="C59:C60"/>
    <mergeCell ref="G57:G58"/>
    <mergeCell ref="B82:B98"/>
    <mergeCell ref="C82:H82"/>
    <mergeCell ref="C83:C84"/>
    <mergeCell ref="D83:D84"/>
    <mergeCell ref="E83:E84"/>
    <mergeCell ref="F83:F84"/>
    <mergeCell ref="G83:G84"/>
    <mergeCell ref="H83:H84"/>
    <mergeCell ref="C85:C86"/>
    <mergeCell ref="C88:C89"/>
    <mergeCell ref="C91:C92"/>
    <mergeCell ref="C94:C95"/>
    <mergeCell ref="C97:C98"/>
  </mergeCells>
  <dataValidations count="3">
    <dataValidation type="list" allowBlank="1" showInputMessage="1" showErrorMessage="1" sqref="C7 C33 C59 C85">
      <formula1>$J$70:$J$71</formula1>
    </dataValidation>
    <dataValidation type="list" allowBlank="1" showInputMessage="1" showErrorMessage="1" sqref="D9 D35 D61 D87">
      <formula1>$J$100:$J$102</formula1>
    </dataValidation>
    <dataValidation type="list" allowBlank="1" showInputMessage="1" showErrorMessage="1" sqref="D10 D36 D62 D88">
      <formula1>$J$77:$J$78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140"/>
  <sheetViews>
    <sheetView rightToLeft="1" zoomScale="90" zoomScaleNormal="90" workbookViewId="0">
      <selection activeCell="J4" sqref="J4"/>
    </sheetView>
  </sheetViews>
  <sheetFormatPr defaultColWidth="9.09765625" defaultRowHeight="16.5" customHeight="1"/>
  <cols>
    <col min="1" max="1" width="11.3984375" style="170" customWidth="1"/>
    <col min="2" max="2" width="5.19921875" style="170" hidden="1" customWidth="1"/>
    <col min="3" max="3" width="10.19921875" style="170" customWidth="1"/>
    <col min="4" max="4" width="8.8984375" style="170" hidden="1" customWidth="1"/>
    <col min="5" max="6" width="8.69921875" style="170" hidden="1" customWidth="1"/>
    <col min="7" max="8" width="9.69921875" style="170" hidden="1" customWidth="1"/>
    <col min="9" max="9" width="12.59765625" style="425" hidden="1" customWidth="1"/>
    <col min="10" max="10" width="24.59765625" style="236" bestFit="1" customWidth="1"/>
    <col min="11" max="11" width="17.19921875" style="190" bestFit="1" customWidth="1"/>
    <col min="12" max="12" width="9.69921875" style="438" bestFit="1" customWidth="1"/>
    <col min="13" max="13" width="9" style="190" bestFit="1" customWidth="1"/>
    <col min="14" max="14" width="10.3984375" style="190" bestFit="1" customWidth="1"/>
    <col min="15" max="15" width="9" style="190" bestFit="1" customWidth="1"/>
    <col min="16" max="16" width="8.8984375" style="190" customWidth="1"/>
    <col min="17" max="17" width="9.3984375" style="190" customWidth="1"/>
    <col min="18" max="20" width="8.3984375" style="190" customWidth="1"/>
    <col min="21" max="28" width="9.3984375" style="190" customWidth="1"/>
    <col min="29" max="29" width="9.796875" style="190" customWidth="1"/>
    <col min="30" max="44" width="9.3984375" style="190" customWidth="1"/>
    <col min="45" max="46" width="8.3984375" style="190" customWidth="1"/>
    <col min="47" max="47" width="9" style="236" bestFit="1" customWidth="1"/>
    <col min="48" max="48" width="8.3984375" style="190" customWidth="1"/>
    <col min="49" max="49" width="9.09765625" style="466" customWidth="1"/>
    <col min="50" max="50" width="11.19921875" style="170" customWidth="1"/>
    <col min="51" max="51" width="11" style="170" customWidth="1"/>
    <col min="52" max="52" width="9.09765625" style="170" customWidth="1"/>
    <col min="53" max="53" width="11.69921875" style="170" customWidth="1"/>
    <col min="54" max="56" width="9.09765625" style="170" customWidth="1"/>
    <col min="57" max="57" width="10.19921875" style="170" customWidth="1"/>
    <col min="58" max="58" width="9.09765625" style="170" customWidth="1"/>
    <col min="59" max="59" width="11.69921875" style="170" bestFit="1" customWidth="1"/>
    <col min="60" max="60" width="12.8984375" style="170" customWidth="1"/>
    <col min="61" max="90" width="9.09765625" style="170" customWidth="1"/>
    <col min="91" max="91" width="5.8984375" style="170" bestFit="1" customWidth="1"/>
    <col min="92" max="168" width="9.09765625" style="170" customWidth="1"/>
    <col min="169" max="170" width="9.09765625" style="170"/>
    <col min="171" max="171" width="22.8984375" style="170" customWidth="1"/>
    <col min="172" max="172" width="9.09765625" style="170" customWidth="1"/>
    <col min="173" max="173" width="9.09765625" style="170"/>
    <col min="174" max="180" width="0" style="170" hidden="1" customWidth="1"/>
    <col min="181" max="16384" width="9.09765625" style="170"/>
  </cols>
  <sheetData>
    <row r="1" spans="1:174" ht="48" customHeight="1" thickBot="1">
      <c r="A1" s="426"/>
      <c r="B1" s="426"/>
      <c r="C1" s="426"/>
      <c r="D1" s="426"/>
      <c r="E1" s="426"/>
      <c r="F1" s="426"/>
      <c r="G1" s="426"/>
      <c r="H1" s="426"/>
      <c r="I1" s="427"/>
      <c r="J1" s="428"/>
      <c r="K1" s="429" t="s">
        <v>175</v>
      </c>
      <c r="L1" s="738"/>
      <c r="M1" s="631"/>
      <c r="N1" s="632"/>
      <c r="O1" s="632"/>
      <c r="P1" s="632"/>
      <c r="Q1" s="632"/>
      <c r="R1" s="632"/>
      <c r="S1" s="632"/>
      <c r="T1" s="633"/>
      <c r="U1" s="742"/>
      <c r="V1" s="743"/>
      <c r="W1" s="743"/>
      <c r="X1" s="743"/>
      <c r="Y1" s="743"/>
      <c r="Z1" s="743"/>
      <c r="AA1" s="743"/>
      <c r="AB1" s="744"/>
      <c r="AC1" s="742"/>
      <c r="AD1" s="743"/>
      <c r="AE1" s="743"/>
      <c r="AF1" s="743"/>
      <c r="AG1" s="743"/>
      <c r="AH1" s="743"/>
      <c r="AI1" s="743"/>
      <c r="AJ1" s="744"/>
      <c r="AK1" s="742"/>
      <c r="AL1" s="743"/>
      <c r="AM1" s="743"/>
      <c r="AN1" s="743"/>
      <c r="AO1" s="743"/>
      <c r="AP1" s="743"/>
      <c r="AQ1" s="743"/>
      <c r="AR1" s="744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  <c r="BI1" s="558"/>
      <c r="BJ1" s="558"/>
      <c r="BK1" s="558"/>
      <c r="BL1" s="558"/>
      <c r="BM1" s="558"/>
      <c r="BN1" s="558"/>
      <c r="BO1" s="558"/>
      <c r="BP1" s="558"/>
      <c r="BQ1" s="558"/>
      <c r="BR1" s="558"/>
      <c r="BS1" s="558"/>
      <c r="BT1" s="558"/>
      <c r="BU1" s="558"/>
      <c r="BV1" s="558"/>
      <c r="BW1" s="558"/>
      <c r="BX1" s="558"/>
      <c r="BY1" s="558"/>
      <c r="BZ1" s="558"/>
      <c r="CA1" s="558"/>
      <c r="CB1" s="558"/>
      <c r="CC1" s="558"/>
      <c r="CD1" s="558"/>
      <c r="CE1" s="558"/>
      <c r="CF1" s="558"/>
      <c r="CG1" s="558"/>
      <c r="CH1" s="558"/>
      <c r="CI1" s="558"/>
      <c r="CJ1" s="558"/>
      <c r="CK1" s="558"/>
      <c r="CL1" s="558"/>
      <c r="CM1" s="558"/>
      <c r="CN1" s="558"/>
      <c r="CO1" s="558"/>
      <c r="CP1" s="558"/>
      <c r="CQ1" s="558"/>
      <c r="CR1" s="558"/>
      <c r="CS1" s="558"/>
      <c r="CT1" s="558"/>
      <c r="CU1" s="558"/>
      <c r="CV1" s="558"/>
      <c r="CW1" s="558"/>
      <c r="CX1" s="558"/>
      <c r="CY1" s="558"/>
      <c r="CZ1" s="558"/>
      <c r="DA1" s="558"/>
      <c r="DB1" s="558"/>
      <c r="DC1" s="558"/>
      <c r="DD1" s="558"/>
      <c r="DE1" s="558"/>
      <c r="DF1" s="558"/>
      <c r="DG1" s="558"/>
      <c r="DH1" s="558"/>
      <c r="DI1" s="558"/>
      <c r="DJ1" s="558"/>
      <c r="DK1" s="558"/>
      <c r="DL1" s="558"/>
      <c r="DM1" s="558"/>
      <c r="DN1" s="558"/>
      <c r="DO1" s="558"/>
      <c r="DP1" s="558"/>
      <c r="DQ1" s="558"/>
      <c r="DR1" s="558"/>
      <c r="DS1" s="558"/>
      <c r="DT1" s="558"/>
      <c r="DU1" s="558"/>
      <c r="DV1" s="558"/>
      <c r="DW1" s="558"/>
      <c r="DX1" s="558"/>
      <c r="DY1" s="558"/>
      <c r="DZ1" s="558"/>
      <c r="EA1" s="558"/>
      <c r="EB1" s="558"/>
      <c r="EC1" s="558"/>
      <c r="ED1" s="558"/>
      <c r="EE1" s="558"/>
      <c r="EF1" s="558"/>
      <c r="EG1" s="558"/>
      <c r="EH1" s="558"/>
      <c r="EI1" s="558"/>
      <c r="EJ1" s="558"/>
      <c r="EK1" s="558"/>
      <c r="EL1" s="558"/>
      <c r="EM1" s="558"/>
      <c r="EN1" s="558"/>
      <c r="EO1" s="558"/>
      <c r="EP1" s="558"/>
      <c r="EQ1" s="558"/>
      <c r="ER1" s="558"/>
      <c r="ES1" s="558"/>
      <c r="ET1" s="558"/>
      <c r="EU1" s="558"/>
      <c r="EV1" s="558"/>
      <c r="EW1" s="558"/>
      <c r="EX1" s="558"/>
      <c r="EY1" s="558"/>
      <c r="EZ1" s="558"/>
      <c r="FA1" s="558"/>
      <c r="FB1" s="558"/>
      <c r="FC1" s="558"/>
      <c r="FD1" s="558"/>
      <c r="FE1" s="558"/>
      <c r="FF1" s="558"/>
      <c r="FG1" s="558"/>
      <c r="FH1" s="558"/>
      <c r="FI1" s="558"/>
      <c r="FJ1" s="558"/>
      <c r="FK1" s="558"/>
      <c r="FL1" s="558"/>
      <c r="FM1" s="741"/>
      <c r="FN1" s="741"/>
      <c r="FO1" s="741"/>
      <c r="FP1" s="741"/>
    </row>
    <row r="2" spans="1:174" ht="108" customHeight="1">
      <c r="A2" s="426"/>
      <c r="B2" s="426"/>
      <c r="C2" s="426"/>
      <c r="D2" s="426"/>
      <c r="E2" s="426"/>
      <c r="F2" s="426"/>
      <c r="G2" s="426"/>
      <c r="H2" s="426"/>
      <c r="I2" s="427"/>
      <c r="J2" s="546"/>
      <c r="K2" s="429" t="s">
        <v>445</v>
      </c>
      <c r="L2" s="739"/>
      <c r="M2" s="545"/>
      <c r="N2" s="545"/>
      <c r="O2" s="511"/>
      <c r="P2" s="511"/>
      <c r="Q2" s="545"/>
      <c r="R2" s="545"/>
      <c r="S2" s="511"/>
      <c r="T2" s="545"/>
      <c r="U2" s="545"/>
      <c r="V2" s="545"/>
      <c r="W2" s="511"/>
      <c r="X2" s="511"/>
      <c r="Y2" s="511"/>
      <c r="Z2" s="545"/>
      <c r="AA2" s="545"/>
      <c r="AB2" s="545"/>
      <c r="AC2" s="545"/>
      <c r="AD2" s="511"/>
      <c r="AE2" s="511"/>
      <c r="AF2" s="511"/>
      <c r="AG2" s="511"/>
      <c r="AH2" s="511"/>
      <c r="AI2" s="511"/>
      <c r="AJ2" s="511"/>
      <c r="AK2" s="511"/>
      <c r="AL2" s="545"/>
      <c r="AM2" s="545"/>
      <c r="AN2" s="545"/>
      <c r="AO2" s="545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511"/>
      <c r="BL2" s="511"/>
      <c r="BM2" s="511"/>
      <c r="BN2" s="511"/>
      <c r="BO2" s="511"/>
      <c r="BP2" s="511"/>
      <c r="BQ2" s="511"/>
      <c r="BR2" s="511"/>
      <c r="BS2" s="511"/>
      <c r="BT2" s="511"/>
      <c r="BU2" s="511"/>
      <c r="BV2" s="511"/>
      <c r="BW2" s="511"/>
      <c r="BX2" s="511"/>
      <c r="BY2" s="511"/>
      <c r="BZ2" s="511"/>
      <c r="CA2" s="511"/>
      <c r="CB2" s="511"/>
      <c r="CC2" s="511"/>
      <c r="CD2" s="511"/>
      <c r="CE2" s="511"/>
      <c r="CF2" s="511"/>
      <c r="CG2" s="511"/>
      <c r="CH2" s="511"/>
      <c r="CI2" s="511"/>
      <c r="CJ2" s="511"/>
      <c r="CK2" s="511"/>
      <c r="CL2" s="511"/>
      <c r="CM2" s="511"/>
      <c r="CN2" s="511"/>
      <c r="CO2" s="511"/>
      <c r="CP2" s="511"/>
      <c r="CQ2" s="511"/>
      <c r="CR2" s="511"/>
      <c r="CS2" s="511"/>
      <c r="CT2" s="511"/>
      <c r="CU2" s="511"/>
      <c r="CV2" s="511"/>
      <c r="CW2" s="511"/>
      <c r="CX2" s="511"/>
      <c r="CY2" s="511"/>
      <c r="CZ2" s="511"/>
      <c r="DA2" s="511"/>
      <c r="DB2" s="511"/>
      <c r="DC2" s="511"/>
      <c r="DD2" s="511"/>
      <c r="DE2" s="511"/>
      <c r="DF2" s="511"/>
      <c r="DG2" s="511"/>
      <c r="DH2" s="511"/>
      <c r="DI2" s="511"/>
      <c r="DJ2" s="511"/>
      <c r="DK2" s="511"/>
      <c r="DL2" s="511"/>
      <c r="DM2" s="511"/>
      <c r="DN2" s="511"/>
      <c r="DO2" s="511"/>
      <c r="DP2" s="511"/>
      <c r="DQ2" s="511"/>
      <c r="DR2" s="511"/>
      <c r="DS2" s="511"/>
      <c r="DT2" s="511"/>
      <c r="DU2" s="511"/>
      <c r="DV2" s="511"/>
      <c r="DW2" s="511"/>
      <c r="DX2" s="511"/>
      <c r="DY2" s="511"/>
      <c r="DZ2" s="511"/>
      <c r="EA2" s="511"/>
      <c r="EB2" s="511"/>
      <c r="EC2" s="511"/>
      <c r="ED2" s="511"/>
      <c r="EE2" s="511"/>
      <c r="EF2" s="511"/>
      <c r="EG2" s="511"/>
      <c r="EH2" s="511"/>
      <c r="EI2" s="511"/>
      <c r="EJ2" s="511"/>
      <c r="EK2" s="511"/>
      <c r="EL2" s="511"/>
      <c r="EM2" s="511"/>
      <c r="EN2" s="511"/>
      <c r="EO2" s="511"/>
      <c r="EP2" s="511"/>
      <c r="EQ2" s="432"/>
      <c r="ER2" s="432"/>
      <c r="ES2" s="432"/>
      <c r="ET2" s="432"/>
      <c r="EU2" s="432"/>
      <c r="EV2" s="432"/>
      <c r="EW2" s="432"/>
      <c r="EX2" s="432"/>
      <c r="EY2" s="432"/>
      <c r="EZ2" s="432"/>
      <c r="FA2" s="432"/>
      <c r="FB2" s="432"/>
      <c r="FC2" s="432"/>
      <c r="FD2" s="432"/>
      <c r="FE2" s="432"/>
      <c r="FF2" s="432"/>
      <c r="FG2" s="432"/>
      <c r="FH2" s="432"/>
      <c r="FI2" s="432"/>
      <c r="FJ2" s="432"/>
      <c r="FK2" s="432"/>
      <c r="FL2" s="432"/>
      <c r="FM2" s="741"/>
      <c r="FN2" s="741"/>
      <c r="FO2" s="741"/>
      <c r="FP2" s="741"/>
    </row>
    <row r="3" spans="1:174" ht="16.5" customHeight="1">
      <c r="A3" s="426"/>
      <c r="B3" s="426"/>
      <c r="C3" s="426"/>
      <c r="D3" s="426"/>
      <c r="E3" s="426"/>
      <c r="F3" s="426"/>
      <c r="G3" s="426"/>
      <c r="H3" s="426"/>
      <c r="I3" s="427" t="e">
        <f>I30+I55</f>
        <v>#REF!</v>
      </c>
      <c r="J3" s="515"/>
      <c r="K3" s="429" t="s">
        <v>174</v>
      </c>
      <c r="L3" s="739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3"/>
      <c r="EI3" s="433"/>
      <c r="EJ3" s="433"/>
      <c r="EK3" s="433"/>
      <c r="EL3" s="433"/>
      <c r="EM3" s="433"/>
      <c r="EN3" s="433"/>
      <c r="EO3" s="433"/>
      <c r="EP3" s="433"/>
      <c r="EQ3" s="433"/>
      <c r="ER3" s="433"/>
      <c r="ES3" s="433"/>
      <c r="ET3" s="433"/>
      <c r="EU3" s="433"/>
      <c r="EV3" s="433"/>
      <c r="EW3" s="433"/>
      <c r="EX3" s="433"/>
      <c r="EY3" s="433"/>
      <c r="EZ3" s="433"/>
      <c r="FA3" s="433"/>
      <c r="FB3" s="433"/>
      <c r="FC3" s="433"/>
      <c r="FD3" s="433"/>
      <c r="FE3" s="433"/>
      <c r="FF3" s="433"/>
      <c r="FG3" s="433"/>
      <c r="FH3" s="433"/>
      <c r="FI3" s="433"/>
      <c r="FJ3" s="433"/>
      <c r="FK3" s="433"/>
      <c r="FL3" s="433"/>
      <c r="FM3" s="741"/>
      <c r="FN3" s="741"/>
      <c r="FO3" s="741"/>
      <c r="FP3" s="741"/>
    </row>
    <row r="4" spans="1:174" ht="16.5" customHeight="1">
      <c r="A4" s="426"/>
      <c r="B4" s="426"/>
      <c r="C4" s="426"/>
      <c r="D4" s="426"/>
      <c r="E4" s="426"/>
      <c r="F4" s="426"/>
      <c r="G4" s="426"/>
      <c r="H4" s="426"/>
      <c r="I4" s="427">
        <v>17</v>
      </c>
      <c r="J4" s="434"/>
      <c r="K4" s="429" t="s">
        <v>444</v>
      </c>
      <c r="L4" s="739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  <c r="DE4" s="433"/>
      <c r="DF4" s="433"/>
      <c r="DG4" s="433"/>
      <c r="DH4" s="433"/>
      <c r="DI4" s="433"/>
      <c r="DJ4" s="433"/>
      <c r="DK4" s="433"/>
      <c r="DL4" s="433"/>
      <c r="DM4" s="433"/>
      <c r="DN4" s="433"/>
      <c r="DO4" s="433"/>
      <c r="DP4" s="433"/>
      <c r="DQ4" s="433"/>
      <c r="DR4" s="433"/>
      <c r="DS4" s="433"/>
      <c r="DT4" s="433"/>
      <c r="DU4" s="433"/>
      <c r="DV4" s="433"/>
      <c r="DW4" s="433"/>
      <c r="DX4" s="433"/>
      <c r="DY4" s="433"/>
      <c r="DZ4" s="433"/>
      <c r="EA4" s="433"/>
      <c r="EB4" s="433"/>
      <c r="EC4" s="433"/>
      <c r="ED4" s="433"/>
      <c r="EE4" s="433"/>
      <c r="EF4" s="433"/>
      <c r="EG4" s="433"/>
      <c r="EH4" s="433"/>
      <c r="EI4" s="433"/>
      <c r="EJ4" s="433"/>
      <c r="EK4" s="433"/>
      <c r="EL4" s="433"/>
      <c r="EM4" s="433"/>
      <c r="EN4" s="433"/>
      <c r="EO4" s="433"/>
      <c r="EP4" s="433"/>
      <c r="EQ4" s="433"/>
      <c r="ER4" s="433"/>
      <c r="ES4" s="433"/>
      <c r="ET4" s="433"/>
      <c r="EU4" s="433"/>
      <c r="EV4" s="433"/>
      <c r="EW4" s="433"/>
      <c r="EX4" s="433"/>
      <c r="EY4" s="433"/>
      <c r="EZ4" s="433"/>
      <c r="FA4" s="433"/>
      <c r="FB4" s="433"/>
      <c r="FC4" s="433"/>
      <c r="FD4" s="433"/>
      <c r="FE4" s="433"/>
      <c r="FF4" s="433"/>
      <c r="FG4" s="433"/>
      <c r="FH4" s="433"/>
      <c r="FI4" s="433"/>
      <c r="FJ4" s="433"/>
      <c r="FK4" s="433"/>
      <c r="FL4" s="433"/>
      <c r="FM4" s="741"/>
      <c r="FN4" s="741"/>
      <c r="FO4" s="741"/>
      <c r="FP4" s="741"/>
    </row>
    <row r="5" spans="1:174" ht="16.5" customHeight="1">
      <c r="A5" s="426"/>
      <c r="B5" s="426"/>
      <c r="C5" s="426"/>
      <c r="D5" s="426"/>
      <c r="E5" s="426"/>
      <c r="F5" s="426"/>
      <c r="G5" s="426"/>
      <c r="H5" s="426"/>
      <c r="I5" s="435" t="e">
        <f>SUM(I3:I4)</f>
        <v>#REF!</v>
      </c>
      <c r="J5" s="434"/>
      <c r="K5" s="429" t="s">
        <v>506</v>
      </c>
      <c r="L5" s="739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433"/>
      <c r="DG5" s="433"/>
      <c r="DH5" s="433"/>
      <c r="DI5" s="433"/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3"/>
      <c r="EI5" s="433"/>
      <c r="EJ5" s="433"/>
      <c r="EK5" s="433"/>
      <c r="EL5" s="433"/>
      <c r="EM5" s="433"/>
      <c r="EN5" s="433"/>
      <c r="EO5" s="433"/>
      <c r="EP5" s="433"/>
      <c r="EQ5" s="433"/>
      <c r="ER5" s="433"/>
      <c r="ES5" s="433"/>
      <c r="ET5" s="433"/>
      <c r="EU5" s="433"/>
      <c r="EV5" s="433"/>
      <c r="EW5" s="433"/>
      <c r="EX5" s="433"/>
      <c r="EY5" s="433"/>
      <c r="EZ5" s="433"/>
      <c r="FA5" s="433"/>
      <c r="FB5" s="433"/>
      <c r="FC5" s="433"/>
      <c r="FD5" s="433"/>
      <c r="FE5" s="433"/>
      <c r="FF5" s="433"/>
      <c r="FG5" s="433"/>
      <c r="FH5" s="433"/>
      <c r="FI5" s="433"/>
      <c r="FJ5" s="433"/>
      <c r="FK5" s="433"/>
      <c r="FL5" s="433"/>
      <c r="FM5" s="741"/>
      <c r="FN5" s="741"/>
      <c r="FO5" s="741"/>
      <c r="FP5" s="741"/>
    </row>
    <row r="6" spans="1:174" ht="16.5" customHeight="1">
      <c r="A6" s="426"/>
      <c r="B6" s="426"/>
      <c r="C6" s="426"/>
      <c r="D6" s="426"/>
      <c r="E6" s="426"/>
      <c r="F6" s="426"/>
      <c r="G6" s="426"/>
      <c r="H6" s="426"/>
      <c r="I6" s="427"/>
      <c r="J6" s="434"/>
      <c r="K6" s="429" t="s">
        <v>173</v>
      </c>
      <c r="L6" s="739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741"/>
      <c r="FN6" s="741"/>
      <c r="FO6" s="741"/>
      <c r="FP6" s="741"/>
    </row>
    <row r="7" spans="1:174" ht="16.5" customHeight="1">
      <c r="A7" s="434"/>
      <c r="B7" s="434"/>
      <c r="C7" s="434"/>
      <c r="D7" s="434"/>
      <c r="E7" s="434"/>
      <c r="F7" s="434"/>
      <c r="G7" s="434"/>
      <c r="H7" s="434"/>
      <c r="I7" s="435"/>
      <c r="J7" s="434"/>
      <c r="K7" s="429" t="s">
        <v>77</v>
      </c>
      <c r="L7" s="740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741"/>
      <c r="FN7" s="741"/>
      <c r="FO7" s="741"/>
      <c r="FP7" s="741"/>
    </row>
    <row r="8" spans="1:174" s="438" customFormat="1" ht="16.5" customHeight="1">
      <c r="A8" s="436" t="s">
        <v>185</v>
      </c>
      <c r="B8" s="436" t="s">
        <v>631</v>
      </c>
      <c r="C8" s="436" t="s">
        <v>179</v>
      </c>
      <c r="D8" s="436" t="s">
        <v>568</v>
      </c>
      <c r="E8" s="436" t="s">
        <v>632</v>
      </c>
      <c r="F8" s="436" t="s">
        <v>618</v>
      </c>
      <c r="G8" s="436" t="s">
        <v>621</v>
      </c>
      <c r="H8" s="436" t="s">
        <v>622</v>
      </c>
      <c r="I8" s="437" t="s">
        <v>633</v>
      </c>
      <c r="J8" s="436" t="s">
        <v>16</v>
      </c>
      <c r="K8" s="436" t="s">
        <v>10</v>
      </c>
      <c r="L8" s="436" t="s">
        <v>634</v>
      </c>
      <c r="M8" s="436" t="s">
        <v>635</v>
      </c>
      <c r="N8" s="436" t="s">
        <v>636</v>
      </c>
      <c r="O8" s="436" t="s">
        <v>637</v>
      </c>
      <c r="P8" s="436" t="s">
        <v>638</v>
      </c>
      <c r="Q8" s="436" t="s">
        <v>639</v>
      </c>
      <c r="R8" s="436" t="s">
        <v>640</v>
      </c>
      <c r="S8" s="436" t="s">
        <v>641</v>
      </c>
      <c r="T8" s="436" t="s">
        <v>642</v>
      </c>
      <c r="U8" s="436" t="s">
        <v>643</v>
      </c>
      <c r="V8" s="436" t="s">
        <v>644</v>
      </c>
      <c r="W8" s="436" t="s">
        <v>645</v>
      </c>
      <c r="X8" s="436" t="s">
        <v>646</v>
      </c>
      <c r="Y8" s="436" t="s">
        <v>647</v>
      </c>
      <c r="Z8" s="436" t="s">
        <v>648</v>
      </c>
      <c r="AA8" s="436" t="s">
        <v>649</v>
      </c>
      <c r="AB8" s="436" t="s">
        <v>650</v>
      </c>
      <c r="AC8" s="436" t="s">
        <v>651</v>
      </c>
      <c r="AD8" s="436" t="s">
        <v>652</v>
      </c>
      <c r="AE8" s="436" t="s">
        <v>653</v>
      </c>
      <c r="AF8" s="436" t="s">
        <v>654</v>
      </c>
      <c r="AG8" s="436" t="s">
        <v>655</v>
      </c>
      <c r="AH8" s="436" t="s">
        <v>656</v>
      </c>
      <c r="AI8" s="436" t="s">
        <v>657</v>
      </c>
      <c r="AJ8" s="436" t="s">
        <v>658</v>
      </c>
      <c r="AK8" s="436" t="s">
        <v>659</v>
      </c>
      <c r="AL8" s="436" t="s">
        <v>660</v>
      </c>
      <c r="AM8" s="436" t="s">
        <v>661</v>
      </c>
      <c r="AN8" s="436" t="s">
        <v>662</v>
      </c>
      <c r="AO8" s="436" t="s">
        <v>698</v>
      </c>
      <c r="AP8" s="436" t="s">
        <v>663</v>
      </c>
      <c r="AQ8" s="436" t="s">
        <v>664</v>
      </c>
      <c r="AR8" s="436" t="s">
        <v>665</v>
      </c>
      <c r="AS8" s="436" t="s">
        <v>666</v>
      </c>
      <c r="AT8" s="436" t="s">
        <v>699</v>
      </c>
      <c r="AU8" s="436" t="s">
        <v>749</v>
      </c>
      <c r="AV8" s="436" t="s">
        <v>750</v>
      </c>
      <c r="AW8" s="436" t="s">
        <v>751</v>
      </c>
      <c r="AX8" s="436" t="s">
        <v>752</v>
      </c>
      <c r="AY8" s="436" t="s">
        <v>753</v>
      </c>
      <c r="AZ8" s="436" t="s">
        <v>754</v>
      </c>
      <c r="BA8" s="436" t="s">
        <v>755</v>
      </c>
      <c r="BB8" s="436" t="s">
        <v>748</v>
      </c>
      <c r="BC8" s="436" t="s">
        <v>756</v>
      </c>
      <c r="BD8" s="436" t="s">
        <v>757</v>
      </c>
      <c r="BE8" s="436" t="s">
        <v>758</v>
      </c>
      <c r="BF8" s="436" t="s">
        <v>759</v>
      </c>
      <c r="BG8" s="436" t="s">
        <v>760</v>
      </c>
      <c r="BH8" s="436" t="s">
        <v>761</v>
      </c>
      <c r="BI8" s="436" t="s">
        <v>762</v>
      </c>
      <c r="BJ8" s="436" t="s">
        <v>763</v>
      </c>
      <c r="BK8" s="436" t="s">
        <v>764</v>
      </c>
      <c r="BL8" s="436" t="s">
        <v>765</v>
      </c>
      <c r="BM8" s="436" t="s">
        <v>766</v>
      </c>
      <c r="BN8" s="436" t="s">
        <v>767</v>
      </c>
      <c r="BO8" s="436" t="s">
        <v>768</v>
      </c>
      <c r="BP8" s="436" t="s">
        <v>769</v>
      </c>
      <c r="BQ8" s="436" t="s">
        <v>770</v>
      </c>
      <c r="BR8" s="436" t="s">
        <v>771</v>
      </c>
      <c r="BS8" s="436" t="s">
        <v>772</v>
      </c>
      <c r="BT8" s="436" t="s">
        <v>773</v>
      </c>
      <c r="BU8" s="436" t="s">
        <v>774</v>
      </c>
      <c r="BV8" s="436" t="s">
        <v>775</v>
      </c>
      <c r="BW8" s="436" t="s">
        <v>776</v>
      </c>
      <c r="BX8" s="436" t="s">
        <v>777</v>
      </c>
      <c r="BY8" s="436" t="s">
        <v>778</v>
      </c>
      <c r="BZ8" s="436" t="s">
        <v>779</v>
      </c>
      <c r="CA8" s="436" t="s">
        <v>780</v>
      </c>
      <c r="CB8" s="436" t="s">
        <v>781</v>
      </c>
      <c r="CC8" s="436" t="s">
        <v>782</v>
      </c>
      <c r="CD8" s="436" t="s">
        <v>783</v>
      </c>
      <c r="CE8" s="436" t="s">
        <v>784</v>
      </c>
      <c r="CF8" s="436" t="s">
        <v>785</v>
      </c>
      <c r="CG8" s="436" t="s">
        <v>786</v>
      </c>
      <c r="CH8" s="436" t="s">
        <v>787</v>
      </c>
      <c r="CI8" s="436" t="s">
        <v>788</v>
      </c>
      <c r="CJ8" s="436" t="s">
        <v>789</v>
      </c>
      <c r="CK8" s="436" t="s">
        <v>808</v>
      </c>
      <c r="CL8" s="436" t="s">
        <v>809</v>
      </c>
      <c r="CM8" s="436" t="s">
        <v>810</v>
      </c>
      <c r="CN8" s="436" t="s">
        <v>811</v>
      </c>
      <c r="CO8" s="436" t="s">
        <v>812</v>
      </c>
      <c r="CP8" s="436" t="s">
        <v>813</v>
      </c>
      <c r="CQ8" s="436" t="s">
        <v>814</v>
      </c>
      <c r="CR8" s="436" t="s">
        <v>815</v>
      </c>
      <c r="CS8" s="436" t="s">
        <v>816</v>
      </c>
      <c r="CT8" s="436" t="s">
        <v>817</v>
      </c>
      <c r="CU8" s="436" t="s">
        <v>818</v>
      </c>
      <c r="CV8" s="436" t="s">
        <v>819</v>
      </c>
      <c r="CW8" s="436" t="s">
        <v>820</v>
      </c>
      <c r="CX8" s="436" t="s">
        <v>821</v>
      </c>
      <c r="CY8" s="436" t="s">
        <v>822</v>
      </c>
      <c r="CZ8" s="436" t="s">
        <v>823</v>
      </c>
      <c r="DA8" s="436" t="s">
        <v>824</v>
      </c>
      <c r="DB8" s="436" t="s">
        <v>825</v>
      </c>
      <c r="DC8" s="436" t="s">
        <v>826</v>
      </c>
      <c r="DD8" s="436" t="s">
        <v>827</v>
      </c>
      <c r="DE8" s="436" t="s">
        <v>828</v>
      </c>
      <c r="DF8" s="436" t="s">
        <v>829</v>
      </c>
      <c r="DG8" s="436" t="s">
        <v>830</v>
      </c>
      <c r="DH8" s="436" t="s">
        <v>831</v>
      </c>
      <c r="DI8" s="436" t="s">
        <v>832</v>
      </c>
      <c r="DJ8" s="436" t="s">
        <v>833</v>
      </c>
      <c r="DK8" s="436" t="s">
        <v>834</v>
      </c>
      <c r="DL8" s="436" t="s">
        <v>835</v>
      </c>
      <c r="DM8" s="436" t="s">
        <v>836</v>
      </c>
      <c r="DN8" s="436" t="s">
        <v>837</v>
      </c>
      <c r="DO8" s="436" t="s">
        <v>838</v>
      </c>
      <c r="DP8" s="436" t="s">
        <v>839</v>
      </c>
      <c r="DQ8" s="436" t="s">
        <v>840</v>
      </c>
      <c r="DR8" s="436" t="s">
        <v>841</v>
      </c>
      <c r="DS8" s="436" t="s">
        <v>842</v>
      </c>
      <c r="DT8" s="436" t="s">
        <v>843</v>
      </c>
      <c r="DU8" s="436" t="s">
        <v>844</v>
      </c>
      <c r="DV8" s="436" t="s">
        <v>845</v>
      </c>
      <c r="DW8" s="436" t="s">
        <v>846</v>
      </c>
      <c r="DX8" s="436" t="s">
        <v>847</v>
      </c>
      <c r="DY8" s="436" t="s">
        <v>848</v>
      </c>
      <c r="DZ8" s="436" t="s">
        <v>849</v>
      </c>
      <c r="EA8" s="436" t="s">
        <v>850</v>
      </c>
      <c r="EB8" s="436" t="s">
        <v>851</v>
      </c>
      <c r="EC8" s="436" t="s">
        <v>852</v>
      </c>
      <c r="ED8" s="436" t="s">
        <v>853</v>
      </c>
      <c r="EE8" s="436" t="s">
        <v>854</v>
      </c>
      <c r="EF8" s="436" t="s">
        <v>855</v>
      </c>
      <c r="EG8" s="436" t="s">
        <v>856</v>
      </c>
      <c r="EH8" s="436" t="s">
        <v>857</v>
      </c>
      <c r="EI8" s="436" t="s">
        <v>858</v>
      </c>
      <c r="EJ8" s="436" t="s">
        <v>859</v>
      </c>
      <c r="EK8" s="436" t="s">
        <v>860</v>
      </c>
      <c r="EL8" s="436" t="s">
        <v>861</v>
      </c>
      <c r="EM8" s="436" t="s">
        <v>862</v>
      </c>
      <c r="EN8" s="436" t="s">
        <v>790</v>
      </c>
      <c r="EO8" s="436" t="s">
        <v>791</v>
      </c>
      <c r="EP8" s="436" t="s">
        <v>792</v>
      </c>
      <c r="EQ8" s="436" t="s">
        <v>793</v>
      </c>
      <c r="ER8" s="436" t="s">
        <v>794</v>
      </c>
      <c r="ES8" s="436" t="s">
        <v>795</v>
      </c>
      <c r="ET8" s="436" t="s">
        <v>796</v>
      </c>
      <c r="EU8" s="436" t="s">
        <v>797</v>
      </c>
      <c r="EV8" s="436" t="s">
        <v>798</v>
      </c>
      <c r="EW8" s="436" t="s">
        <v>799</v>
      </c>
      <c r="EX8" s="436" t="s">
        <v>800</v>
      </c>
      <c r="EY8" s="436" t="s">
        <v>863</v>
      </c>
      <c r="EZ8" s="436" t="s">
        <v>864</v>
      </c>
      <c r="FA8" s="436" t="s">
        <v>865</v>
      </c>
      <c r="FB8" s="436" t="s">
        <v>866</v>
      </c>
      <c r="FC8" s="436" t="s">
        <v>867</v>
      </c>
      <c r="FD8" s="436" t="s">
        <v>868</v>
      </c>
      <c r="FE8" s="436" t="s">
        <v>869</v>
      </c>
      <c r="FF8" s="436" t="s">
        <v>870</v>
      </c>
      <c r="FG8" s="436" t="s">
        <v>871</v>
      </c>
      <c r="FH8" s="436" t="s">
        <v>872</v>
      </c>
      <c r="FI8" s="436" t="s">
        <v>873</v>
      </c>
      <c r="FJ8" s="436" t="s">
        <v>874</v>
      </c>
      <c r="FK8" s="436" t="s">
        <v>875</v>
      </c>
      <c r="FL8" s="436" t="s">
        <v>876</v>
      </c>
      <c r="FM8" s="436" t="s">
        <v>22</v>
      </c>
      <c r="FN8" s="436" t="s">
        <v>667</v>
      </c>
      <c r="FO8" s="512" t="s">
        <v>807</v>
      </c>
      <c r="FP8" s="512" t="s">
        <v>923</v>
      </c>
    </row>
    <row r="9" spans="1:174" ht="16.5" customHeight="1">
      <c r="A9" s="440" t="s">
        <v>668</v>
      </c>
      <c r="B9" s="440">
        <v>1</v>
      </c>
      <c r="C9" s="440">
        <v>7103</v>
      </c>
      <c r="D9" s="427" t="e">
        <f>SUMIF([2]!טבלה6[קוד מוצר],C9,[2]!טבלה6[מחיר לקוח])</f>
        <v>#REF!</v>
      </c>
      <c r="E9" s="440">
        <v>1</v>
      </c>
      <c r="F9" s="427" t="e">
        <f t="shared" ref="F9:F16" si="0">D9/E9</f>
        <v>#REF!</v>
      </c>
      <c r="G9" s="441">
        <v>0.17</v>
      </c>
      <c r="H9" s="442" t="e">
        <f t="shared" ref="H9:H28" si="1">F9*G9</f>
        <v>#REF!</v>
      </c>
      <c r="I9" s="443" t="e">
        <f t="shared" ref="I9:I28" si="2">(H9+F9)*M9</f>
        <v>#REF!</v>
      </c>
      <c r="J9" s="440" t="s">
        <v>39</v>
      </c>
      <c r="K9" s="444" t="s">
        <v>669</v>
      </c>
      <c r="L9" s="445">
        <f>1/30</f>
        <v>3.3333333333333333E-2</v>
      </c>
      <c r="M9" s="446">
        <f t="shared" ref="M9:Q12" si="3">ROUNDUP($L9*M$4,0)</f>
        <v>0</v>
      </c>
      <c r="N9" s="446">
        <f t="shared" si="3"/>
        <v>0</v>
      </c>
      <c r="O9" s="446">
        <f t="shared" si="3"/>
        <v>0</v>
      </c>
      <c r="P9" s="446">
        <f t="shared" si="3"/>
        <v>0</v>
      </c>
      <c r="Q9" s="446">
        <f t="shared" si="3"/>
        <v>0</v>
      </c>
      <c r="R9" s="446">
        <f t="shared" ref="R9:BY12" si="4">ROUNDUP($L9*R$4,0)</f>
        <v>0</v>
      </c>
      <c r="S9" s="446">
        <f t="shared" si="4"/>
        <v>0</v>
      </c>
      <c r="T9" s="446">
        <f t="shared" si="4"/>
        <v>0</v>
      </c>
      <c r="U9" s="446">
        <f t="shared" si="4"/>
        <v>0</v>
      </c>
      <c r="V9" s="446">
        <f>ROUNDUP($L9*V$4,0)</f>
        <v>0</v>
      </c>
      <c r="W9" s="446">
        <f t="shared" si="4"/>
        <v>0</v>
      </c>
      <c r="X9" s="446">
        <f t="shared" si="4"/>
        <v>0</v>
      </c>
      <c r="Y9" s="446">
        <f t="shared" si="4"/>
        <v>0</v>
      </c>
      <c r="Z9" s="446">
        <f t="shared" si="4"/>
        <v>0</v>
      </c>
      <c r="AA9" s="446">
        <f t="shared" si="4"/>
        <v>0</v>
      </c>
      <c r="AB9" s="446">
        <f t="shared" si="4"/>
        <v>0</v>
      </c>
      <c r="AC9" s="446">
        <f t="shared" si="4"/>
        <v>0</v>
      </c>
      <c r="AD9" s="446">
        <f t="shared" si="4"/>
        <v>0</v>
      </c>
      <c r="AE9" s="446">
        <f t="shared" si="4"/>
        <v>0</v>
      </c>
      <c r="AF9" s="446">
        <f t="shared" si="4"/>
        <v>0</v>
      </c>
      <c r="AG9" s="446">
        <f t="shared" si="4"/>
        <v>0</v>
      </c>
      <c r="AH9" s="446">
        <f t="shared" si="4"/>
        <v>0</v>
      </c>
      <c r="AI9" s="446">
        <f t="shared" si="4"/>
        <v>0</v>
      </c>
      <c r="AJ9" s="446">
        <f t="shared" si="4"/>
        <v>0</v>
      </c>
      <c r="AK9" s="446">
        <f t="shared" si="4"/>
        <v>0</v>
      </c>
      <c r="AL9" s="446">
        <f t="shared" si="4"/>
        <v>0</v>
      </c>
      <c r="AM9" s="446">
        <f t="shared" si="4"/>
        <v>0</v>
      </c>
      <c r="AN9" s="446">
        <f t="shared" si="4"/>
        <v>0</v>
      </c>
      <c r="AO9" s="446">
        <f t="shared" si="4"/>
        <v>0</v>
      </c>
      <c r="AP9" s="446">
        <f t="shared" si="4"/>
        <v>0</v>
      </c>
      <c r="AQ9" s="446">
        <f t="shared" si="4"/>
        <v>0</v>
      </c>
      <c r="AR9" s="446">
        <f t="shared" si="4"/>
        <v>0</v>
      </c>
      <c r="AS9" s="446">
        <f t="shared" si="4"/>
        <v>0</v>
      </c>
      <c r="AT9" s="446">
        <f t="shared" si="4"/>
        <v>0</v>
      </c>
      <c r="AU9" s="446">
        <f t="shared" si="4"/>
        <v>0</v>
      </c>
      <c r="AV9" s="446">
        <f t="shared" si="4"/>
        <v>0</v>
      </c>
      <c r="AW9" s="446">
        <f t="shared" si="4"/>
        <v>0</v>
      </c>
      <c r="AX9" s="446">
        <f t="shared" si="4"/>
        <v>0</v>
      </c>
      <c r="AY9" s="446">
        <f t="shared" si="4"/>
        <v>0</v>
      </c>
      <c r="AZ9" s="446">
        <f t="shared" ref="AZ9:BA12" si="5">ROUNDUP($L9*AZ$4,0)</f>
        <v>0</v>
      </c>
      <c r="BA9" s="446">
        <f t="shared" si="5"/>
        <v>0</v>
      </c>
      <c r="BB9" s="446">
        <f t="shared" ref="BB9:BH12" si="6">ROUNDUP($L9*BB$4,0)</f>
        <v>0</v>
      </c>
      <c r="BC9" s="446">
        <f t="shared" si="6"/>
        <v>0</v>
      </c>
      <c r="BD9" s="446">
        <f t="shared" si="6"/>
        <v>0</v>
      </c>
      <c r="BE9" s="446">
        <f t="shared" si="6"/>
        <v>0</v>
      </c>
      <c r="BF9" s="446">
        <f t="shared" si="6"/>
        <v>0</v>
      </c>
      <c r="BG9" s="446">
        <f t="shared" si="6"/>
        <v>0</v>
      </c>
      <c r="BH9" s="446">
        <f t="shared" si="6"/>
        <v>0</v>
      </c>
      <c r="BI9" s="638">
        <f t="shared" si="4"/>
        <v>0</v>
      </c>
      <c r="BJ9" s="446">
        <f t="shared" si="4"/>
        <v>0</v>
      </c>
      <c r="BK9" s="446">
        <f t="shared" si="4"/>
        <v>0</v>
      </c>
      <c r="BL9" s="446">
        <f t="shared" si="4"/>
        <v>0</v>
      </c>
      <c r="BM9" s="446">
        <f t="shared" si="4"/>
        <v>0</v>
      </c>
      <c r="BN9" s="446">
        <f t="shared" si="4"/>
        <v>0</v>
      </c>
      <c r="BO9" s="446">
        <f t="shared" si="4"/>
        <v>0</v>
      </c>
      <c r="BP9" s="446">
        <f t="shared" si="4"/>
        <v>0</v>
      </c>
      <c r="BQ9" s="446">
        <f t="shared" si="4"/>
        <v>0</v>
      </c>
      <c r="BR9" s="446">
        <f t="shared" si="4"/>
        <v>0</v>
      </c>
      <c r="BS9" s="446">
        <f t="shared" si="4"/>
        <v>0</v>
      </c>
      <c r="BT9" s="446">
        <f t="shared" si="4"/>
        <v>0</v>
      </c>
      <c r="BU9" s="446">
        <f t="shared" si="4"/>
        <v>0</v>
      </c>
      <c r="BV9" s="446">
        <f t="shared" si="4"/>
        <v>0</v>
      </c>
      <c r="BW9" s="446">
        <f t="shared" si="4"/>
        <v>0</v>
      </c>
      <c r="BX9" s="446">
        <f t="shared" si="4"/>
        <v>0</v>
      </c>
      <c r="BY9" s="446">
        <f t="shared" si="4"/>
        <v>0</v>
      </c>
      <c r="BZ9" s="446">
        <f t="shared" ref="BZ9:EK12" si="7">ROUNDUP($L9*BZ$4,0)</f>
        <v>0</v>
      </c>
      <c r="CA9" s="446">
        <f t="shared" si="7"/>
        <v>0</v>
      </c>
      <c r="CB9" s="446">
        <f t="shared" si="7"/>
        <v>0</v>
      </c>
      <c r="CC9" s="446">
        <f t="shared" si="7"/>
        <v>0</v>
      </c>
      <c r="CD9" s="446">
        <f t="shared" si="7"/>
        <v>0</v>
      </c>
      <c r="CE9" s="446">
        <f t="shared" si="7"/>
        <v>0</v>
      </c>
      <c r="CF9" s="446">
        <f t="shared" si="7"/>
        <v>0</v>
      </c>
      <c r="CG9" s="446">
        <f t="shared" si="7"/>
        <v>0</v>
      </c>
      <c r="CH9" s="446">
        <f t="shared" si="7"/>
        <v>0</v>
      </c>
      <c r="CI9" s="446">
        <f t="shared" si="7"/>
        <v>0</v>
      </c>
      <c r="CJ9" s="446">
        <f t="shared" si="7"/>
        <v>0</v>
      </c>
      <c r="CK9" s="446">
        <f t="shared" si="7"/>
        <v>0</v>
      </c>
      <c r="CL9" s="446">
        <f t="shared" si="7"/>
        <v>0</v>
      </c>
      <c r="CM9" s="446">
        <f t="shared" si="7"/>
        <v>0</v>
      </c>
      <c r="CN9" s="446">
        <f t="shared" si="7"/>
        <v>0</v>
      </c>
      <c r="CO9" s="446">
        <f t="shared" si="7"/>
        <v>0</v>
      </c>
      <c r="CP9" s="446">
        <f t="shared" si="7"/>
        <v>0</v>
      </c>
      <c r="CQ9" s="446">
        <f t="shared" si="7"/>
        <v>0</v>
      </c>
      <c r="CR9" s="446">
        <f t="shared" si="7"/>
        <v>0</v>
      </c>
      <c r="CS9" s="446">
        <f t="shared" si="7"/>
        <v>0</v>
      </c>
      <c r="CT9" s="446">
        <f t="shared" si="7"/>
        <v>0</v>
      </c>
      <c r="CU9" s="446">
        <f t="shared" si="7"/>
        <v>0</v>
      </c>
      <c r="CV9" s="446">
        <f t="shared" si="7"/>
        <v>0</v>
      </c>
      <c r="CW9" s="446">
        <f t="shared" si="7"/>
        <v>0</v>
      </c>
      <c r="CX9" s="446">
        <f t="shared" si="7"/>
        <v>0</v>
      </c>
      <c r="CY9" s="446">
        <f t="shared" si="7"/>
        <v>0</v>
      </c>
      <c r="CZ9" s="446">
        <f t="shared" si="7"/>
        <v>0</v>
      </c>
      <c r="DA9" s="446">
        <f t="shared" si="7"/>
        <v>0</v>
      </c>
      <c r="DB9" s="446">
        <f t="shared" si="7"/>
        <v>0</v>
      </c>
      <c r="DC9" s="446">
        <f t="shared" si="7"/>
        <v>0</v>
      </c>
      <c r="DD9" s="446">
        <f t="shared" si="7"/>
        <v>0</v>
      </c>
      <c r="DE9" s="446">
        <f t="shared" si="7"/>
        <v>0</v>
      </c>
      <c r="DF9" s="446">
        <f t="shared" si="7"/>
        <v>0</v>
      </c>
      <c r="DG9" s="446">
        <f t="shared" si="7"/>
        <v>0</v>
      </c>
      <c r="DH9" s="446">
        <f t="shared" si="7"/>
        <v>0</v>
      </c>
      <c r="DI9" s="446">
        <f t="shared" si="7"/>
        <v>0</v>
      </c>
      <c r="DJ9" s="446">
        <f t="shared" si="7"/>
        <v>0</v>
      </c>
      <c r="DK9" s="446">
        <f t="shared" si="7"/>
        <v>0</v>
      </c>
      <c r="DL9" s="446">
        <f t="shared" si="7"/>
        <v>0</v>
      </c>
      <c r="DM9" s="446">
        <f t="shared" si="7"/>
        <v>0</v>
      </c>
      <c r="DN9" s="446">
        <f t="shared" si="7"/>
        <v>0</v>
      </c>
      <c r="DO9" s="446">
        <f t="shared" si="7"/>
        <v>0</v>
      </c>
      <c r="DP9" s="446">
        <f t="shared" si="7"/>
        <v>0</v>
      </c>
      <c r="DQ9" s="446">
        <f t="shared" si="7"/>
        <v>0</v>
      </c>
      <c r="DR9" s="446">
        <f t="shared" si="7"/>
        <v>0</v>
      </c>
      <c r="DS9" s="446">
        <f t="shared" si="7"/>
        <v>0</v>
      </c>
      <c r="DT9" s="446">
        <f t="shared" si="7"/>
        <v>0</v>
      </c>
      <c r="DU9" s="446">
        <f t="shared" si="7"/>
        <v>0</v>
      </c>
      <c r="DV9" s="446">
        <f t="shared" si="7"/>
        <v>0</v>
      </c>
      <c r="DW9" s="446">
        <f t="shared" si="7"/>
        <v>0</v>
      </c>
      <c r="DX9" s="446">
        <f t="shared" si="7"/>
        <v>0</v>
      </c>
      <c r="DY9" s="446">
        <f t="shared" si="7"/>
        <v>0</v>
      </c>
      <c r="DZ9" s="446">
        <f t="shared" si="7"/>
        <v>0</v>
      </c>
      <c r="EA9" s="446">
        <f t="shared" si="7"/>
        <v>0</v>
      </c>
      <c r="EB9" s="446">
        <f t="shared" si="7"/>
        <v>0</v>
      </c>
      <c r="EC9" s="446">
        <f t="shared" si="7"/>
        <v>0</v>
      </c>
      <c r="ED9" s="446">
        <f t="shared" si="7"/>
        <v>0</v>
      </c>
      <c r="EE9" s="446">
        <f t="shared" si="7"/>
        <v>0</v>
      </c>
      <c r="EF9" s="446">
        <f t="shared" si="7"/>
        <v>0</v>
      </c>
      <c r="EG9" s="446">
        <f t="shared" si="7"/>
        <v>0</v>
      </c>
      <c r="EH9" s="446">
        <f t="shared" si="7"/>
        <v>0</v>
      </c>
      <c r="EI9" s="446">
        <f t="shared" si="7"/>
        <v>0</v>
      </c>
      <c r="EJ9" s="446">
        <f t="shared" si="7"/>
        <v>0</v>
      </c>
      <c r="EK9" s="446">
        <f t="shared" si="7"/>
        <v>0</v>
      </c>
      <c r="EL9" s="446">
        <f t="shared" ref="EL9:FL12" si="8">ROUNDUP($L9*EL$4,0)</f>
        <v>0</v>
      </c>
      <c r="EM9" s="446">
        <f t="shared" si="8"/>
        <v>0</v>
      </c>
      <c r="EN9" s="446">
        <f t="shared" si="8"/>
        <v>0</v>
      </c>
      <c r="EO9" s="446">
        <f t="shared" si="8"/>
        <v>0</v>
      </c>
      <c r="EP9" s="446">
        <f t="shared" si="8"/>
        <v>0</v>
      </c>
      <c r="EQ9" s="446">
        <f t="shared" si="8"/>
        <v>0</v>
      </c>
      <c r="ER9" s="446">
        <f t="shared" si="8"/>
        <v>0</v>
      </c>
      <c r="ES9" s="446">
        <f t="shared" si="8"/>
        <v>0</v>
      </c>
      <c r="ET9" s="446">
        <f t="shared" si="8"/>
        <v>0</v>
      </c>
      <c r="EU9" s="446">
        <f t="shared" si="8"/>
        <v>0</v>
      </c>
      <c r="EV9" s="446">
        <f t="shared" si="8"/>
        <v>0</v>
      </c>
      <c r="EW9" s="446">
        <f t="shared" si="8"/>
        <v>0</v>
      </c>
      <c r="EX9" s="446">
        <f t="shared" si="8"/>
        <v>0</v>
      </c>
      <c r="EY9" s="446">
        <f t="shared" si="8"/>
        <v>0</v>
      </c>
      <c r="EZ9" s="446">
        <f t="shared" si="8"/>
        <v>0</v>
      </c>
      <c r="FA9" s="446">
        <f t="shared" si="8"/>
        <v>0</v>
      </c>
      <c r="FB9" s="446">
        <f t="shared" si="8"/>
        <v>0</v>
      </c>
      <c r="FC9" s="446">
        <f t="shared" si="8"/>
        <v>0</v>
      </c>
      <c r="FD9" s="446">
        <f t="shared" si="8"/>
        <v>0</v>
      </c>
      <c r="FE9" s="446">
        <f t="shared" si="8"/>
        <v>0</v>
      </c>
      <c r="FF9" s="446">
        <f t="shared" si="8"/>
        <v>0</v>
      </c>
      <c r="FG9" s="446">
        <f t="shared" si="8"/>
        <v>0</v>
      </c>
      <c r="FH9" s="446">
        <f t="shared" si="8"/>
        <v>0</v>
      </c>
      <c r="FI9" s="446">
        <f t="shared" si="8"/>
        <v>0</v>
      </c>
      <c r="FJ9" s="446">
        <f t="shared" si="8"/>
        <v>0</v>
      </c>
      <c r="FK9" s="446">
        <f t="shared" si="8"/>
        <v>0</v>
      </c>
      <c r="FL9" s="446">
        <f t="shared" si="8"/>
        <v>0</v>
      </c>
      <c r="FM9" s="446">
        <f>SUM(טבלה8[[#This Row],[1]:[156]])</f>
        <v>0</v>
      </c>
      <c r="FN9" s="447">
        <f>טבלה8[[#This Row],[סה"כ]]</f>
        <v>0</v>
      </c>
      <c r="FO9" s="554" t="str">
        <f>טבלה8[[#This Row],[מוצר]]</f>
        <v>זיתים A2</v>
      </c>
      <c r="FP9" s="554"/>
    </row>
    <row r="10" spans="1:174" s="219" customFormat="1" ht="16.5" customHeight="1">
      <c r="A10" s="440" t="s">
        <v>668</v>
      </c>
      <c r="B10" s="440">
        <v>2</v>
      </c>
      <c r="C10" s="440">
        <v>2648</v>
      </c>
      <c r="D10" s="427" t="e">
        <f>SUMIF([2]!טבלה6[קוד מוצר],C10,[2]!טבלה6[מחיר לקוח])</f>
        <v>#REF!</v>
      </c>
      <c r="E10" s="440">
        <v>1</v>
      </c>
      <c r="F10" s="427" t="e">
        <f t="shared" si="0"/>
        <v>#REF!</v>
      </c>
      <c r="G10" s="441">
        <v>0.17</v>
      </c>
      <c r="H10" s="442" t="e">
        <f t="shared" si="1"/>
        <v>#REF!</v>
      </c>
      <c r="I10" s="443" t="e">
        <f t="shared" si="2"/>
        <v>#REF!</v>
      </c>
      <c r="J10" s="440" t="s">
        <v>670</v>
      </c>
      <c r="K10" s="444" t="s">
        <v>671</v>
      </c>
      <c r="L10" s="445">
        <f>1/30</f>
        <v>3.3333333333333333E-2</v>
      </c>
      <c r="M10" s="446">
        <f t="shared" si="3"/>
        <v>0</v>
      </c>
      <c r="N10" s="446">
        <f t="shared" si="3"/>
        <v>0</v>
      </c>
      <c r="O10" s="446">
        <f t="shared" si="3"/>
        <v>0</v>
      </c>
      <c r="P10" s="446">
        <f t="shared" si="3"/>
        <v>0</v>
      </c>
      <c r="Q10" s="446">
        <f t="shared" si="3"/>
        <v>0</v>
      </c>
      <c r="R10" s="446">
        <f t="shared" si="4"/>
        <v>0</v>
      </c>
      <c r="S10" s="446">
        <f t="shared" si="4"/>
        <v>0</v>
      </c>
      <c r="T10" s="446">
        <f t="shared" si="4"/>
        <v>0</v>
      </c>
      <c r="U10" s="446">
        <f t="shared" si="4"/>
        <v>0</v>
      </c>
      <c r="V10" s="446">
        <f t="shared" si="4"/>
        <v>0</v>
      </c>
      <c r="W10" s="446">
        <f t="shared" si="4"/>
        <v>0</v>
      </c>
      <c r="X10" s="446">
        <f t="shared" si="4"/>
        <v>0</v>
      </c>
      <c r="Y10" s="446">
        <f t="shared" si="4"/>
        <v>0</v>
      </c>
      <c r="Z10" s="446">
        <f t="shared" si="4"/>
        <v>0</v>
      </c>
      <c r="AA10" s="446">
        <f t="shared" si="4"/>
        <v>0</v>
      </c>
      <c r="AB10" s="446">
        <f t="shared" si="4"/>
        <v>0</v>
      </c>
      <c r="AC10" s="446">
        <f t="shared" si="4"/>
        <v>0</v>
      </c>
      <c r="AD10" s="446">
        <f t="shared" si="4"/>
        <v>0</v>
      </c>
      <c r="AE10" s="446">
        <f t="shared" si="4"/>
        <v>0</v>
      </c>
      <c r="AF10" s="446">
        <f t="shared" si="4"/>
        <v>0</v>
      </c>
      <c r="AG10" s="446">
        <f t="shared" si="4"/>
        <v>0</v>
      </c>
      <c r="AH10" s="446">
        <f t="shared" si="4"/>
        <v>0</v>
      </c>
      <c r="AI10" s="446">
        <f t="shared" si="4"/>
        <v>0</v>
      </c>
      <c r="AJ10" s="446">
        <f t="shared" si="4"/>
        <v>0</v>
      </c>
      <c r="AK10" s="446">
        <f t="shared" si="4"/>
        <v>0</v>
      </c>
      <c r="AL10" s="446">
        <f t="shared" si="4"/>
        <v>0</v>
      </c>
      <c r="AM10" s="446">
        <f t="shared" si="4"/>
        <v>0</v>
      </c>
      <c r="AN10" s="446">
        <f t="shared" si="4"/>
        <v>0</v>
      </c>
      <c r="AO10" s="446">
        <f t="shared" si="4"/>
        <v>0</v>
      </c>
      <c r="AP10" s="446">
        <f t="shared" si="4"/>
        <v>0</v>
      </c>
      <c r="AQ10" s="446">
        <f t="shared" si="4"/>
        <v>0</v>
      </c>
      <c r="AR10" s="446">
        <f t="shared" si="4"/>
        <v>0</v>
      </c>
      <c r="AS10" s="446">
        <f t="shared" si="4"/>
        <v>0</v>
      </c>
      <c r="AT10" s="446">
        <f t="shared" si="4"/>
        <v>0</v>
      </c>
      <c r="AU10" s="446">
        <f t="shared" si="4"/>
        <v>0</v>
      </c>
      <c r="AV10" s="446">
        <f t="shared" si="4"/>
        <v>0</v>
      </c>
      <c r="AW10" s="446">
        <f t="shared" si="4"/>
        <v>0</v>
      </c>
      <c r="AX10" s="446">
        <f t="shared" si="4"/>
        <v>0</v>
      </c>
      <c r="AY10" s="446">
        <f t="shared" si="4"/>
        <v>0</v>
      </c>
      <c r="AZ10" s="446">
        <f t="shared" si="5"/>
        <v>0</v>
      </c>
      <c r="BA10" s="446">
        <f t="shared" si="5"/>
        <v>0</v>
      </c>
      <c r="BB10" s="446">
        <f t="shared" si="6"/>
        <v>0</v>
      </c>
      <c r="BC10" s="446">
        <f t="shared" si="6"/>
        <v>0</v>
      </c>
      <c r="BD10" s="446">
        <f t="shared" si="6"/>
        <v>0</v>
      </c>
      <c r="BE10" s="446">
        <f t="shared" si="6"/>
        <v>0</v>
      </c>
      <c r="BF10" s="446">
        <f t="shared" si="6"/>
        <v>0</v>
      </c>
      <c r="BG10" s="446">
        <f t="shared" si="6"/>
        <v>0</v>
      </c>
      <c r="BH10" s="446">
        <f t="shared" si="6"/>
        <v>0</v>
      </c>
      <c r="BI10" s="638">
        <f t="shared" si="4"/>
        <v>0</v>
      </c>
      <c r="BJ10" s="446">
        <f t="shared" si="4"/>
        <v>0</v>
      </c>
      <c r="BK10" s="446">
        <f t="shared" si="4"/>
        <v>0</v>
      </c>
      <c r="BL10" s="446">
        <f t="shared" si="4"/>
        <v>0</v>
      </c>
      <c r="BM10" s="446">
        <f t="shared" si="4"/>
        <v>0</v>
      </c>
      <c r="BN10" s="446">
        <f t="shared" si="4"/>
        <v>0</v>
      </c>
      <c r="BO10" s="446">
        <f t="shared" si="4"/>
        <v>0</v>
      </c>
      <c r="BP10" s="446">
        <f t="shared" si="4"/>
        <v>0</v>
      </c>
      <c r="BQ10" s="446">
        <f t="shared" si="4"/>
        <v>0</v>
      </c>
      <c r="BR10" s="446">
        <f t="shared" si="4"/>
        <v>0</v>
      </c>
      <c r="BS10" s="446">
        <f t="shared" si="4"/>
        <v>0</v>
      </c>
      <c r="BT10" s="446">
        <f t="shared" si="4"/>
        <v>0</v>
      </c>
      <c r="BU10" s="446">
        <f t="shared" si="4"/>
        <v>0</v>
      </c>
      <c r="BV10" s="446">
        <f t="shared" si="4"/>
        <v>0</v>
      </c>
      <c r="BW10" s="446">
        <f t="shared" si="4"/>
        <v>0</v>
      </c>
      <c r="BX10" s="446">
        <f t="shared" si="4"/>
        <v>0</v>
      </c>
      <c r="BY10" s="446">
        <f t="shared" si="4"/>
        <v>0</v>
      </c>
      <c r="BZ10" s="446">
        <f t="shared" si="7"/>
        <v>0</v>
      </c>
      <c r="CA10" s="446">
        <f t="shared" si="7"/>
        <v>0</v>
      </c>
      <c r="CB10" s="446">
        <f t="shared" si="7"/>
        <v>0</v>
      </c>
      <c r="CC10" s="446">
        <f t="shared" si="7"/>
        <v>0</v>
      </c>
      <c r="CD10" s="446">
        <f t="shared" si="7"/>
        <v>0</v>
      </c>
      <c r="CE10" s="446">
        <f t="shared" si="7"/>
        <v>0</v>
      </c>
      <c r="CF10" s="446">
        <f t="shared" si="7"/>
        <v>0</v>
      </c>
      <c r="CG10" s="446">
        <f t="shared" si="7"/>
        <v>0</v>
      </c>
      <c r="CH10" s="446">
        <f t="shared" si="7"/>
        <v>0</v>
      </c>
      <c r="CI10" s="446">
        <f t="shared" si="7"/>
        <v>0</v>
      </c>
      <c r="CJ10" s="446">
        <f t="shared" si="7"/>
        <v>0</v>
      </c>
      <c r="CK10" s="446">
        <f t="shared" si="7"/>
        <v>0</v>
      </c>
      <c r="CL10" s="446">
        <f t="shared" si="7"/>
        <v>0</v>
      </c>
      <c r="CM10" s="446">
        <f t="shared" si="7"/>
        <v>0</v>
      </c>
      <c r="CN10" s="446">
        <f t="shared" si="7"/>
        <v>0</v>
      </c>
      <c r="CO10" s="446">
        <f t="shared" si="7"/>
        <v>0</v>
      </c>
      <c r="CP10" s="446">
        <f t="shared" si="7"/>
        <v>0</v>
      </c>
      <c r="CQ10" s="446">
        <f t="shared" si="7"/>
        <v>0</v>
      </c>
      <c r="CR10" s="446">
        <f t="shared" si="7"/>
        <v>0</v>
      </c>
      <c r="CS10" s="446">
        <f t="shared" si="7"/>
        <v>0</v>
      </c>
      <c r="CT10" s="446">
        <f t="shared" si="7"/>
        <v>0</v>
      </c>
      <c r="CU10" s="446">
        <f t="shared" si="7"/>
        <v>0</v>
      </c>
      <c r="CV10" s="446">
        <f t="shared" si="7"/>
        <v>0</v>
      </c>
      <c r="CW10" s="446">
        <f t="shared" si="7"/>
        <v>0</v>
      </c>
      <c r="CX10" s="446">
        <f t="shared" si="7"/>
        <v>0</v>
      </c>
      <c r="CY10" s="446">
        <f t="shared" si="7"/>
        <v>0</v>
      </c>
      <c r="CZ10" s="446">
        <f t="shared" si="7"/>
        <v>0</v>
      </c>
      <c r="DA10" s="446">
        <f t="shared" si="7"/>
        <v>0</v>
      </c>
      <c r="DB10" s="446">
        <f t="shared" si="7"/>
        <v>0</v>
      </c>
      <c r="DC10" s="446">
        <f t="shared" si="7"/>
        <v>0</v>
      </c>
      <c r="DD10" s="446">
        <f t="shared" si="7"/>
        <v>0</v>
      </c>
      <c r="DE10" s="446">
        <f t="shared" si="7"/>
        <v>0</v>
      </c>
      <c r="DF10" s="446">
        <f t="shared" si="7"/>
        <v>0</v>
      </c>
      <c r="DG10" s="446">
        <f t="shared" si="7"/>
        <v>0</v>
      </c>
      <c r="DH10" s="446">
        <f t="shared" si="7"/>
        <v>0</v>
      </c>
      <c r="DI10" s="446">
        <f t="shared" si="7"/>
        <v>0</v>
      </c>
      <c r="DJ10" s="446">
        <f t="shared" si="7"/>
        <v>0</v>
      </c>
      <c r="DK10" s="446">
        <f t="shared" si="7"/>
        <v>0</v>
      </c>
      <c r="DL10" s="446">
        <f t="shared" si="7"/>
        <v>0</v>
      </c>
      <c r="DM10" s="446">
        <f t="shared" si="7"/>
        <v>0</v>
      </c>
      <c r="DN10" s="446">
        <f t="shared" si="7"/>
        <v>0</v>
      </c>
      <c r="DO10" s="446">
        <f t="shared" si="7"/>
        <v>0</v>
      </c>
      <c r="DP10" s="446">
        <f t="shared" si="7"/>
        <v>0</v>
      </c>
      <c r="DQ10" s="446">
        <f t="shared" si="7"/>
        <v>0</v>
      </c>
      <c r="DR10" s="446">
        <f t="shared" si="7"/>
        <v>0</v>
      </c>
      <c r="DS10" s="446">
        <f t="shared" si="7"/>
        <v>0</v>
      </c>
      <c r="DT10" s="446">
        <f t="shared" si="7"/>
        <v>0</v>
      </c>
      <c r="DU10" s="446">
        <f t="shared" si="7"/>
        <v>0</v>
      </c>
      <c r="DV10" s="446">
        <f t="shared" si="7"/>
        <v>0</v>
      </c>
      <c r="DW10" s="446">
        <f t="shared" si="7"/>
        <v>0</v>
      </c>
      <c r="DX10" s="446">
        <f t="shared" si="7"/>
        <v>0</v>
      </c>
      <c r="DY10" s="446">
        <f t="shared" si="7"/>
        <v>0</v>
      </c>
      <c r="DZ10" s="446">
        <f t="shared" si="7"/>
        <v>0</v>
      </c>
      <c r="EA10" s="446">
        <f t="shared" si="7"/>
        <v>0</v>
      </c>
      <c r="EB10" s="446">
        <f t="shared" si="7"/>
        <v>0</v>
      </c>
      <c r="EC10" s="446">
        <f t="shared" si="7"/>
        <v>0</v>
      </c>
      <c r="ED10" s="446">
        <f t="shared" si="7"/>
        <v>0</v>
      </c>
      <c r="EE10" s="446">
        <f t="shared" si="7"/>
        <v>0</v>
      </c>
      <c r="EF10" s="446">
        <f t="shared" si="7"/>
        <v>0</v>
      </c>
      <c r="EG10" s="446">
        <f t="shared" si="7"/>
        <v>0</v>
      </c>
      <c r="EH10" s="446">
        <f t="shared" si="7"/>
        <v>0</v>
      </c>
      <c r="EI10" s="446">
        <f t="shared" si="7"/>
        <v>0</v>
      </c>
      <c r="EJ10" s="446">
        <f t="shared" si="7"/>
        <v>0</v>
      </c>
      <c r="EK10" s="446">
        <f t="shared" si="7"/>
        <v>0</v>
      </c>
      <c r="EL10" s="446">
        <f t="shared" si="8"/>
        <v>0</v>
      </c>
      <c r="EM10" s="446">
        <f t="shared" si="8"/>
        <v>0</v>
      </c>
      <c r="EN10" s="446">
        <f t="shared" si="8"/>
        <v>0</v>
      </c>
      <c r="EO10" s="446">
        <f t="shared" si="8"/>
        <v>0</v>
      </c>
      <c r="EP10" s="446">
        <f t="shared" si="8"/>
        <v>0</v>
      </c>
      <c r="EQ10" s="446">
        <f t="shared" si="8"/>
        <v>0</v>
      </c>
      <c r="ER10" s="446">
        <f t="shared" si="8"/>
        <v>0</v>
      </c>
      <c r="ES10" s="446">
        <f t="shared" si="8"/>
        <v>0</v>
      </c>
      <c r="ET10" s="446">
        <f t="shared" si="8"/>
        <v>0</v>
      </c>
      <c r="EU10" s="446">
        <f t="shared" si="8"/>
        <v>0</v>
      </c>
      <c r="EV10" s="446">
        <f t="shared" si="8"/>
        <v>0</v>
      </c>
      <c r="EW10" s="446">
        <f t="shared" si="8"/>
        <v>0</v>
      </c>
      <c r="EX10" s="446">
        <f t="shared" si="8"/>
        <v>0</v>
      </c>
      <c r="EY10" s="446">
        <f t="shared" si="8"/>
        <v>0</v>
      </c>
      <c r="EZ10" s="446">
        <f t="shared" si="8"/>
        <v>0</v>
      </c>
      <c r="FA10" s="446">
        <f t="shared" si="8"/>
        <v>0</v>
      </c>
      <c r="FB10" s="446">
        <f t="shared" si="8"/>
        <v>0</v>
      </c>
      <c r="FC10" s="446">
        <f t="shared" si="8"/>
        <v>0</v>
      </c>
      <c r="FD10" s="446">
        <f t="shared" si="8"/>
        <v>0</v>
      </c>
      <c r="FE10" s="446">
        <f t="shared" si="8"/>
        <v>0</v>
      </c>
      <c r="FF10" s="446">
        <f t="shared" si="8"/>
        <v>0</v>
      </c>
      <c r="FG10" s="446">
        <f t="shared" si="8"/>
        <v>0</v>
      </c>
      <c r="FH10" s="446">
        <f t="shared" si="8"/>
        <v>0</v>
      </c>
      <c r="FI10" s="446">
        <f t="shared" si="8"/>
        <v>0</v>
      </c>
      <c r="FJ10" s="446">
        <f t="shared" si="8"/>
        <v>0</v>
      </c>
      <c r="FK10" s="446">
        <f t="shared" si="8"/>
        <v>0</v>
      </c>
      <c r="FL10" s="446">
        <f t="shared" si="8"/>
        <v>0</v>
      </c>
      <c r="FM10" s="446">
        <f>SUM(טבלה8[[#This Row],[1]:[156]])</f>
        <v>0</v>
      </c>
      <c r="FN10" s="447">
        <f>טבלה8[[#This Row],[סה"כ]]</f>
        <v>0</v>
      </c>
      <c r="FO10" s="554" t="str">
        <f>טבלה8[[#This Row],[מוצר]]</f>
        <v>שוקולד השחר (חלבי) 500 ג'</v>
      </c>
      <c r="FP10" s="554"/>
    </row>
    <row r="11" spans="1:174" ht="16.5" customHeight="1">
      <c r="A11" s="440" t="s">
        <v>211</v>
      </c>
      <c r="B11" s="440">
        <v>3</v>
      </c>
      <c r="C11" s="440">
        <v>46</v>
      </c>
      <c r="D11" s="427" t="e">
        <f>SUMIF([2]!טבלה6[קוד מוצר],C11,[2]!טבלה6[מחיר לקוח])</f>
        <v>#REF!</v>
      </c>
      <c r="E11" s="440">
        <v>1</v>
      </c>
      <c r="F11" s="427" t="e">
        <f t="shared" si="0"/>
        <v>#REF!</v>
      </c>
      <c r="G11" s="441">
        <v>0.17</v>
      </c>
      <c r="H11" s="442" t="e">
        <f t="shared" si="1"/>
        <v>#REF!</v>
      </c>
      <c r="I11" s="443" t="e">
        <f t="shared" si="2"/>
        <v>#REF!</v>
      </c>
      <c r="J11" s="440" t="s">
        <v>168</v>
      </c>
      <c r="K11" s="444" t="s">
        <v>672</v>
      </c>
      <c r="L11" s="445">
        <f>1/5</f>
        <v>0.2</v>
      </c>
      <c r="M11" s="446">
        <f t="shared" si="3"/>
        <v>0</v>
      </c>
      <c r="N11" s="446">
        <f t="shared" si="3"/>
        <v>0</v>
      </c>
      <c r="O11" s="446">
        <f t="shared" si="3"/>
        <v>0</v>
      </c>
      <c r="P11" s="446">
        <f t="shared" si="3"/>
        <v>0</v>
      </c>
      <c r="Q11" s="446">
        <f t="shared" si="3"/>
        <v>0</v>
      </c>
      <c r="R11" s="446">
        <f t="shared" si="4"/>
        <v>0</v>
      </c>
      <c r="S11" s="446">
        <f t="shared" si="4"/>
        <v>0</v>
      </c>
      <c r="T11" s="446">
        <f t="shared" si="4"/>
        <v>0</v>
      </c>
      <c r="U11" s="446">
        <f t="shared" si="4"/>
        <v>0</v>
      </c>
      <c r="V11" s="446">
        <f t="shared" si="4"/>
        <v>0</v>
      </c>
      <c r="W11" s="446">
        <f t="shared" si="4"/>
        <v>0</v>
      </c>
      <c r="X11" s="446">
        <f t="shared" si="4"/>
        <v>0</v>
      </c>
      <c r="Y11" s="446">
        <f t="shared" si="4"/>
        <v>0</v>
      </c>
      <c r="Z11" s="446">
        <f t="shared" si="4"/>
        <v>0</v>
      </c>
      <c r="AA11" s="446">
        <f t="shared" si="4"/>
        <v>0</v>
      </c>
      <c r="AB11" s="446">
        <f t="shared" si="4"/>
        <v>0</v>
      </c>
      <c r="AC11" s="446">
        <f t="shared" si="4"/>
        <v>0</v>
      </c>
      <c r="AD11" s="446">
        <f t="shared" si="4"/>
        <v>0</v>
      </c>
      <c r="AE11" s="446">
        <f t="shared" si="4"/>
        <v>0</v>
      </c>
      <c r="AF11" s="446">
        <f t="shared" si="4"/>
        <v>0</v>
      </c>
      <c r="AG11" s="446">
        <f t="shared" si="4"/>
        <v>0</v>
      </c>
      <c r="AH11" s="446">
        <f t="shared" si="4"/>
        <v>0</v>
      </c>
      <c r="AI11" s="446">
        <f t="shared" si="4"/>
        <v>0</v>
      </c>
      <c r="AJ11" s="446">
        <f t="shared" si="4"/>
        <v>0</v>
      </c>
      <c r="AK11" s="446">
        <f t="shared" si="4"/>
        <v>0</v>
      </c>
      <c r="AL11" s="446">
        <f t="shared" si="4"/>
        <v>0</v>
      </c>
      <c r="AM11" s="446">
        <f t="shared" si="4"/>
        <v>0</v>
      </c>
      <c r="AN11" s="446">
        <f t="shared" si="4"/>
        <v>0</v>
      </c>
      <c r="AO11" s="446">
        <f t="shared" si="4"/>
        <v>0</v>
      </c>
      <c r="AP11" s="446">
        <f t="shared" si="4"/>
        <v>0</v>
      </c>
      <c r="AQ11" s="446">
        <f t="shared" si="4"/>
        <v>0</v>
      </c>
      <c r="AR11" s="446">
        <f t="shared" si="4"/>
        <v>0</v>
      </c>
      <c r="AS11" s="446">
        <f t="shared" si="4"/>
        <v>0</v>
      </c>
      <c r="AT11" s="446">
        <f t="shared" si="4"/>
        <v>0</v>
      </c>
      <c r="AU11" s="446">
        <f t="shared" si="4"/>
        <v>0</v>
      </c>
      <c r="AV11" s="446">
        <f t="shared" si="4"/>
        <v>0</v>
      </c>
      <c r="AW11" s="446">
        <f t="shared" si="4"/>
        <v>0</v>
      </c>
      <c r="AX11" s="446">
        <f t="shared" si="4"/>
        <v>0</v>
      </c>
      <c r="AY11" s="446">
        <f t="shared" si="4"/>
        <v>0</v>
      </c>
      <c r="AZ11" s="446">
        <f t="shared" si="5"/>
        <v>0</v>
      </c>
      <c r="BA11" s="446">
        <f t="shared" si="5"/>
        <v>0</v>
      </c>
      <c r="BB11" s="446">
        <f t="shared" si="6"/>
        <v>0</v>
      </c>
      <c r="BC11" s="446">
        <f t="shared" si="6"/>
        <v>0</v>
      </c>
      <c r="BD11" s="446">
        <f t="shared" si="6"/>
        <v>0</v>
      </c>
      <c r="BE11" s="446">
        <f t="shared" si="6"/>
        <v>0</v>
      </c>
      <c r="BF11" s="446">
        <f t="shared" si="6"/>
        <v>0</v>
      </c>
      <c r="BG11" s="446">
        <f t="shared" si="6"/>
        <v>0</v>
      </c>
      <c r="BH11" s="446">
        <f t="shared" si="6"/>
        <v>0</v>
      </c>
      <c r="BI11" s="638">
        <f t="shared" si="4"/>
        <v>0</v>
      </c>
      <c r="BJ11" s="446">
        <f t="shared" si="4"/>
        <v>0</v>
      </c>
      <c r="BK11" s="446">
        <f t="shared" si="4"/>
        <v>0</v>
      </c>
      <c r="BL11" s="446">
        <f t="shared" si="4"/>
        <v>0</v>
      </c>
      <c r="BM11" s="446">
        <f t="shared" si="4"/>
        <v>0</v>
      </c>
      <c r="BN11" s="446">
        <f t="shared" si="4"/>
        <v>0</v>
      </c>
      <c r="BO11" s="446">
        <f t="shared" si="4"/>
        <v>0</v>
      </c>
      <c r="BP11" s="446">
        <f t="shared" si="4"/>
        <v>0</v>
      </c>
      <c r="BQ11" s="446">
        <f t="shared" si="4"/>
        <v>0</v>
      </c>
      <c r="BR11" s="446">
        <f t="shared" si="4"/>
        <v>0</v>
      </c>
      <c r="BS11" s="446">
        <f t="shared" si="4"/>
        <v>0</v>
      </c>
      <c r="BT11" s="446">
        <f t="shared" si="4"/>
        <v>0</v>
      </c>
      <c r="BU11" s="446">
        <f t="shared" si="4"/>
        <v>0</v>
      </c>
      <c r="BV11" s="446">
        <f t="shared" si="4"/>
        <v>0</v>
      </c>
      <c r="BW11" s="446">
        <f t="shared" si="4"/>
        <v>0</v>
      </c>
      <c r="BX11" s="446">
        <f t="shared" si="4"/>
        <v>0</v>
      </c>
      <c r="BY11" s="446">
        <f t="shared" si="4"/>
        <v>0</v>
      </c>
      <c r="BZ11" s="446">
        <f t="shared" si="7"/>
        <v>0</v>
      </c>
      <c r="CA11" s="446">
        <f t="shared" si="7"/>
        <v>0</v>
      </c>
      <c r="CB11" s="446">
        <f t="shared" si="7"/>
        <v>0</v>
      </c>
      <c r="CC11" s="446">
        <f t="shared" si="7"/>
        <v>0</v>
      </c>
      <c r="CD11" s="446">
        <f t="shared" si="7"/>
        <v>0</v>
      </c>
      <c r="CE11" s="446">
        <f t="shared" si="7"/>
        <v>0</v>
      </c>
      <c r="CF11" s="446">
        <f t="shared" si="7"/>
        <v>0</v>
      </c>
      <c r="CG11" s="446">
        <f t="shared" si="7"/>
        <v>0</v>
      </c>
      <c r="CH11" s="446">
        <f t="shared" si="7"/>
        <v>0</v>
      </c>
      <c r="CI11" s="446">
        <f t="shared" si="7"/>
        <v>0</v>
      </c>
      <c r="CJ11" s="446">
        <f t="shared" si="7"/>
        <v>0</v>
      </c>
      <c r="CK11" s="446">
        <f t="shared" si="7"/>
        <v>0</v>
      </c>
      <c r="CL11" s="446">
        <f t="shared" si="7"/>
        <v>0</v>
      </c>
      <c r="CM11" s="446">
        <f t="shared" si="7"/>
        <v>0</v>
      </c>
      <c r="CN11" s="446">
        <f t="shared" si="7"/>
        <v>0</v>
      </c>
      <c r="CO11" s="446">
        <f t="shared" si="7"/>
        <v>0</v>
      </c>
      <c r="CP11" s="446">
        <f t="shared" si="7"/>
        <v>0</v>
      </c>
      <c r="CQ11" s="446">
        <f t="shared" si="7"/>
        <v>0</v>
      </c>
      <c r="CR11" s="446">
        <f t="shared" si="7"/>
        <v>0</v>
      </c>
      <c r="CS11" s="446">
        <f t="shared" si="7"/>
        <v>0</v>
      </c>
      <c r="CT11" s="446">
        <f t="shared" si="7"/>
        <v>0</v>
      </c>
      <c r="CU11" s="446">
        <f t="shared" si="7"/>
        <v>0</v>
      </c>
      <c r="CV11" s="446">
        <f t="shared" si="7"/>
        <v>0</v>
      </c>
      <c r="CW11" s="446">
        <f t="shared" si="7"/>
        <v>0</v>
      </c>
      <c r="CX11" s="446">
        <f t="shared" si="7"/>
        <v>0</v>
      </c>
      <c r="CY11" s="446">
        <f t="shared" si="7"/>
        <v>0</v>
      </c>
      <c r="CZ11" s="446">
        <f t="shared" si="7"/>
        <v>0</v>
      </c>
      <c r="DA11" s="446">
        <f t="shared" si="7"/>
        <v>0</v>
      </c>
      <c r="DB11" s="446">
        <f t="shared" si="7"/>
        <v>0</v>
      </c>
      <c r="DC11" s="446">
        <f t="shared" si="7"/>
        <v>0</v>
      </c>
      <c r="DD11" s="446">
        <f t="shared" si="7"/>
        <v>0</v>
      </c>
      <c r="DE11" s="446">
        <f t="shared" si="7"/>
        <v>0</v>
      </c>
      <c r="DF11" s="446">
        <f t="shared" si="7"/>
        <v>0</v>
      </c>
      <c r="DG11" s="446">
        <f t="shared" si="7"/>
        <v>0</v>
      </c>
      <c r="DH11" s="446">
        <f t="shared" si="7"/>
        <v>0</v>
      </c>
      <c r="DI11" s="446">
        <f t="shared" si="7"/>
        <v>0</v>
      </c>
      <c r="DJ11" s="446">
        <f t="shared" si="7"/>
        <v>0</v>
      </c>
      <c r="DK11" s="446">
        <f t="shared" si="7"/>
        <v>0</v>
      </c>
      <c r="DL11" s="446">
        <f t="shared" si="7"/>
        <v>0</v>
      </c>
      <c r="DM11" s="446">
        <f t="shared" si="7"/>
        <v>0</v>
      </c>
      <c r="DN11" s="446">
        <f t="shared" si="7"/>
        <v>0</v>
      </c>
      <c r="DO11" s="446">
        <f t="shared" si="7"/>
        <v>0</v>
      </c>
      <c r="DP11" s="446">
        <f t="shared" si="7"/>
        <v>0</v>
      </c>
      <c r="DQ11" s="446">
        <f t="shared" si="7"/>
        <v>0</v>
      </c>
      <c r="DR11" s="446">
        <f t="shared" si="7"/>
        <v>0</v>
      </c>
      <c r="DS11" s="446">
        <f t="shared" si="7"/>
        <v>0</v>
      </c>
      <c r="DT11" s="446">
        <f t="shared" si="7"/>
        <v>0</v>
      </c>
      <c r="DU11" s="446">
        <f t="shared" si="7"/>
        <v>0</v>
      </c>
      <c r="DV11" s="446">
        <f t="shared" si="7"/>
        <v>0</v>
      </c>
      <c r="DW11" s="446">
        <f t="shared" si="7"/>
        <v>0</v>
      </c>
      <c r="DX11" s="446">
        <f t="shared" si="7"/>
        <v>0</v>
      </c>
      <c r="DY11" s="446">
        <f t="shared" si="7"/>
        <v>0</v>
      </c>
      <c r="DZ11" s="446">
        <f t="shared" si="7"/>
        <v>0</v>
      </c>
      <c r="EA11" s="446">
        <f t="shared" si="7"/>
        <v>0</v>
      </c>
      <c r="EB11" s="446">
        <f t="shared" si="7"/>
        <v>0</v>
      </c>
      <c r="EC11" s="446">
        <f t="shared" si="7"/>
        <v>0</v>
      </c>
      <c r="ED11" s="446">
        <f t="shared" si="7"/>
        <v>0</v>
      </c>
      <c r="EE11" s="446">
        <f t="shared" si="7"/>
        <v>0</v>
      </c>
      <c r="EF11" s="446">
        <f t="shared" si="7"/>
        <v>0</v>
      </c>
      <c r="EG11" s="446">
        <f t="shared" si="7"/>
        <v>0</v>
      </c>
      <c r="EH11" s="446">
        <f t="shared" si="7"/>
        <v>0</v>
      </c>
      <c r="EI11" s="446">
        <f t="shared" si="7"/>
        <v>0</v>
      </c>
      <c r="EJ11" s="446">
        <f t="shared" si="7"/>
        <v>0</v>
      </c>
      <c r="EK11" s="446">
        <f t="shared" si="7"/>
        <v>0</v>
      </c>
      <c r="EL11" s="446">
        <f t="shared" si="8"/>
        <v>0</v>
      </c>
      <c r="EM11" s="446">
        <f t="shared" si="8"/>
        <v>0</v>
      </c>
      <c r="EN11" s="446">
        <f t="shared" si="8"/>
        <v>0</v>
      </c>
      <c r="EO11" s="446">
        <f t="shared" si="8"/>
        <v>0</v>
      </c>
      <c r="EP11" s="446">
        <f t="shared" si="8"/>
        <v>0</v>
      </c>
      <c r="EQ11" s="446">
        <f t="shared" si="8"/>
        <v>0</v>
      </c>
      <c r="ER11" s="446">
        <f t="shared" si="8"/>
        <v>0</v>
      </c>
      <c r="ES11" s="446">
        <f t="shared" si="8"/>
        <v>0</v>
      </c>
      <c r="ET11" s="446">
        <f t="shared" si="8"/>
        <v>0</v>
      </c>
      <c r="EU11" s="446">
        <f t="shared" si="8"/>
        <v>0</v>
      </c>
      <c r="EV11" s="446">
        <f t="shared" si="8"/>
        <v>0</v>
      </c>
      <c r="EW11" s="446">
        <f t="shared" si="8"/>
        <v>0</v>
      </c>
      <c r="EX11" s="446">
        <f t="shared" si="8"/>
        <v>0</v>
      </c>
      <c r="EY11" s="446">
        <f t="shared" si="8"/>
        <v>0</v>
      </c>
      <c r="EZ11" s="446">
        <f t="shared" si="8"/>
        <v>0</v>
      </c>
      <c r="FA11" s="446">
        <f t="shared" si="8"/>
        <v>0</v>
      </c>
      <c r="FB11" s="446">
        <f t="shared" si="8"/>
        <v>0</v>
      </c>
      <c r="FC11" s="446">
        <f t="shared" si="8"/>
        <v>0</v>
      </c>
      <c r="FD11" s="446">
        <f t="shared" si="8"/>
        <v>0</v>
      </c>
      <c r="FE11" s="446">
        <f t="shared" si="8"/>
        <v>0</v>
      </c>
      <c r="FF11" s="446">
        <f t="shared" si="8"/>
        <v>0</v>
      </c>
      <c r="FG11" s="446">
        <f t="shared" si="8"/>
        <v>0</v>
      </c>
      <c r="FH11" s="446">
        <f t="shared" si="8"/>
        <v>0</v>
      </c>
      <c r="FI11" s="446">
        <f t="shared" si="8"/>
        <v>0</v>
      </c>
      <c r="FJ11" s="446">
        <f t="shared" si="8"/>
        <v>0</v>
      </c>
      <c r="FK11" s="446">
        <f t="shared" si="8"/>
        <v>0</v>
      </c>
      <c r="FL11" s="446">
        <f t="shared" si="8"/>
        <v>0</v>
      </c>
      <c r="FM11" s="446">
        <f>SUM(טבלה8[[#This Row],[1]:[156]])</f>
        <v>0</v>
      </c>
      <c r="FN11" s="447">
        <f>טבלה8[[#This Row],[סה"כ]]</f>
        <v>0</v>
      </c>
      <c r="FO11" s="554" t="str">
        <f>טבלה8[[#This Row],[מוצר]]</f>
        <v>קוטג' 250 ג'</v>
      </c>
      <c r="FP11" s="554"/>
    </row>
    <row r="12" spans="1:174" s="219" customFormat="1" ht="16.5" customHeight="1">
      <c r="A12" s="440" t="s">
        <v>211</v>
      </c>
      <c r="B12" s="440">
        <v>4</v>
      </c>
      <c r="C12" s="440">
        <v>8702</v>
      </c>
      <c r="D12" s="427" t="e">
        <f>SUMIF([2]!טבלה6[קוד מוצר],C12,[2]!טבלה6[מחיר לקוח])</f>
        <v>#REF!</v>
      </c>
      <c r="E12" s="440">
        <v>1</v>
      </c>
      <c r="F12" s="427" t="e">
        <f t="shared" si="0"/>
        <v>#REF!</v>
      </c>
      <c r="G12" s="441">
        <v>0.17</v>
      </c>
      <c r="H12" s="442" t="e">
        <f t="shared" si="1"/>
        <v>#REF!</v>
      </c>
      <c r="I12" s="443" t="e">
        <f t="shared" si="2"/>
        <v>#REF!</v>
      </c>
      <c r="J12" s="440" t="s">
        <v>678</v>
      </c>
      <c r="K12" s="444" t="s">
        <v>674</v>
      </c>
      <c r="L12" s="445">
        <f>1/7</f>
        <v>0.14285714285714285</v>
      </c>
      <c r="M12" s="446">
        <f t="shared" si="3"/>
        <v>0</v>
      </c>
      <c r="N12" s="446">
        <f t="shared" si="3"/>
        <v>0</v>
      </c>
      <c r="O12" s="446">
        <f t="shared" si="3"/>
        <v>0</v>
      </c>
      <c r="P12" s="446">
        <f t="shared" si="3"/>
        <v>0</v>
      </c>
      <c r="Q12" s="446">
        <f t="shared" si="3"/>
        <v>0</v>
      </c>
      <c r="R12" s="446">
        <f t="shared" si="4"/>
        <v>0</v>
      </c>
      <c r="S12" s="446">
        <f t="shared" si="4"/>
        <v>0</v>
      </c>
      <c r="T12" s="446">
        <f t="shared" si="4"/>
        <v>0</v>
      </c>
      <c r="U12" s="446">
        <f t="shared" si="4"/>
        <v>0</v>
      </c>
      <c r="V12" s="446">
        <f t="shared" si="4"/>
        <v>0</v>
      </c>
      <c r="W12" s="446">
        <f t="shared" si="4"/>
        <v>0</v>
      </c>
      <c r="X12" s="446">
        <f t="shared" si="4"/>
        <v>0</v>
      </c>
      <c r="Y12" s="446">
        <f t="shared" si="4"/>
        <v>0</v>
      </c>
      <c r="Z12" s="446">
        <f t="shared" si="4"/>
        <v>0</v>
      </c>
      <c r="AA12" s="446">
        <f t="shared" si="4"/>
        <v>0</v>
      </c>
      <c r="AB12" s="446">
        <f t="shared" si="4"/>
        <v>0</v>
      </c>
      <c r="AC12" s="446">
        <f t="shared" si="4"/>
        <v>0</v>
      </c>
      <c r="AD12" s="446">
        <f t="shared" si="4"/>
        <v>0</v>
      </c>
      <c r="AE12" s="446">
        <f t="shared" si="4"/>
        <v>0</v>
      </c>
      <c r="AF12" s="446">
        <f t="shared" si="4"/>
        <v>0</v>
      </c>
      <c r="AG12" s="446">
        <f t="shared" si="4"/>
        <v>0</v>
      </c>
      <c r="AH12" s="446">
        <f t="shared" si="4"/>
        <v>0</v>
      </c>
      <c r="AI12" s="446">
        <f t="shared" si="4"/>
        <v>0</v>
      </c>
      <c r="AJ12" s="446">
        <f t="shared" si="4"/>
        <v>0</v>
      </c>
      <c r="AK12" s="446">
        <f t="shared" si="4"/>
        <v>0</v>
      </c>
      <c r="AL12" s="446">
        <f t="shared" si="4"/>
        <v>0</v>
      </c>
      <c r="AM12" s="446">
        <f t="shared" si="4"/>
        <v>0</v>
      </c>
      <c r="AN12" s="446">
        <f t="shared" si="4"/>
        <v>0</v>
      </c>
      <c r="AO12" s="446">
        <f t="shared" si="4"/>
        <v>0</v>
      </c>
      <c r="AP12" s="446">
        <f t="shared" si="4"/>
        <v>0</v>
      </c>
      <c r="AQ12" s="446">
        <f t="shared" si="4"/>
        <v>0</v>
      </c>
      <c r="AR12" s="446">
        <f t="shared" si="4"/>
        <v>0</v>
      </c>
      <c r="AS12" s="446">
        <f t="shared" si="4"/>
        <v>0</v>
      </c>
      <c r="AT12" s="446">
        <f t="shared" si="4"/>
        <v>0</v>
      </c>
      <c r="AU12" s="446">
        <f t="shared" si="4"/>
        <v>0</v>
      </c>
      <c r="AV12" s="446">
        <f t="shared" si="4"/>
        <v>0</v>
      </c>
      <c r="AW12" s="446">
        <f t="shared" si="4"/>
        <v>0</v>
      </c>
      <c r="AX12" s="446">
        <f t="shared" si="4"/>
        <v>0</v>
      </c>
      <c r="AY12" s="446">
        <f t="shared" si="4"/>
        <v>0</v>
      </c>
      <c r="AZ12" s="446">
        <f t="shared" si="5"/>
        <v>0</v>
      </c>
      <c r="BA12" s="446">
        <f t="shared" si="5"/>
        <v>0</v>
      </c>
      <c r="BB12" s="446">
        <f t="shared" si="6"/>
        <v>0</v>
      </c>
      <c r="BC12" s="446">
        <f t="shared" si="6"/>
        <v>0</v>
      </c>
      <c r="BD12" s="446">
        <f t="shared" si="6"/>
        <v>0</v>
      </c>
      <c r="BE12" s="446">
        <f t="shared" si="6"/>
        <v>0</v>
      </c>
      <c r="BF12" s="446">
        <f t="shared" si="6"/>
        <v>0</v>
      </c>
      <c r="BG12" s="446">
        <f t="shared" si="6"/>
        <v>0</v>
      </c>
      <c r="BH12" s="446">
        <f t="shared" si="6"/>
        <v>0</v>
      </c>
      <c r="BI12" s="638">
        <f t="shared" si="4"/>
        <v>0</v>
      </c>
      <c r="BJ12" s="446">
        <f t="shared" si="4"/>
        <v>0</v>
      </c>
      <c r="BK12" s="446">
        <f t="shared" si="4"/>
        <v>0</v>
      </c>
      <c r="BL12" s="446">
        <f t="shared" si="4"/>
        <v>0</v>
      </c>
      <c r="BM12" s="446">
        <f t="shared" si="4"/>
        <v>0</v>
      </c>
      <c r="BN12" s="446">
        <f t="shared" si="4"/>
        <v>0</v>
      </c>
      <c r="BO12" s="446">
        <f t="shared" si="4"/>
        <v>0</v>
      </c>
      <c r="BP12" s="446">
        <f t="shared" si="4"/>
        <v>0</v>
      </c>
      <c r="BQ12" s="446">
        <f t="shared" si="4"/>
        <v>0</v>
      </c>
      <c r="BR12" s="446">
        <f t="shared" si="4"/>
        <v>0</v>
      </c>
      <c r="BS12" s="446">
        <f t="shared" si="4"/>
        <v>0</v>
      </c>
      <c r="BT12" s="446">
        <f t="shared" si="4"/>
        <v>0</v>
      </c>
      <c r="BU12" s="446">
        <f t="shared" si="4"/>
        <v>0</v>
      </c>
      <c r="BV12" s="446">
        <f t="shared" si="4"/>
        <v>0</v>
      </c>
      <c r="BW12" s="446">
        <f t="shared" si="4"/>
        <v>0</v>
      </c>
      <c r="BX12" s="446">
        <f t="shared" si="4"/>
        <v>0</v>
      </c>
      <c r="BY12" s="446">
        <f t="shared" ref="BY12" si="9">ROUNDUP($L12*BY$4,0)</f>
        <v>0</v>
      </c>
      <c r="BZ12" s="446">
        <f t="shared" si="7"/>
        <v>0</v>
      </c>
      <c r="CA12" s="446">
        <f t="shared" si="7"/>
        <v>0</v>
      </c>
      <c r="CB12" s="446">
        <f t="shared" si="7"/>
        <v>0</v>
      </c>
      <c r="CC12" s="446">
        <f t="shared" si="7"/>
        <v>0</v>
      </c>
      <c r="CD12" s="446">
        <f t="shared" si="7"/>
        <v>0</v>
      </c>
      <c r="CE12" s="446">
        <f t="shared" si="7"/>
        <v>0</v>
      </c>
      <c r="CF12" s="446">
        <f t="shared" si="7"/>
        <v>0</v>
      </c>
      <c r="CG12" s="446">
        <f t="shared" si="7"/>
        <v>0</v>
      </c>
      <c r="CH12" s="446">
        <f t="shared" si="7"/>
        <v>0</v>
      </c>
      <c r="CI12" s="446">
        <f t="shared" si="7"/>
        <v>0</v>
      </c>
      <c r="CJ12" s="446">
        <f t="shared" si="7"/>
        <v>0</v>
      </c>
      <c r="CK12" s="446">
        <f t="shared" si="7"/>
        <v>0</v>
      </c>
      <c r="CL12" s="446">
        <f t="shared" si="7"/>
        <v>0</v>
      </c>
      <c r="CM12" s="446">
        <f t="shared" si="7"/>
        <v>0</v>
      </c>
      <c r="CN12" s="446">
        <f t="shared" si="7"/>
        <v>0</v>
      </c>
      <c r="CO12" s="446">
        <f t="shared" si="7"/>
        <v>0</v>
      </c>
      <c r="CP12" s="446">
        <f t="shared" si="7"/>
        <v>0</v>
      </c>
      <c r="CQ12" s="446">
        <f t="shared" si="7"/>
        <v>0</v>
      </c>
      <c r="CR12" s="446">
        <f t="shared" si="7"/>
        <v>0</v>
      </c>
      <c r="CS12" s="446">
        <f t="shared" si="7"/>
        <v>0</v>
      </c>
      <c r="CT12" s="446">
        <f t="shared" si="7"/>
        <v>0</v>
      </c>
      <c r="CU12" s="446">
        <f t="shared" si="7"/>
        <v>0</v>
      </c>
      <c r="CV12" s="446">
        <f t="shared" si="7"/>
        <v>0</v>
      </c>
      <c r="CW12" s="446">
        <f t="shared" si="7"/>
        <v>0</v>
      </c>
      <c r="CX12" s="446">
        <f t="shared" si="7"/>
        <v>0</v>
      </c>
      <c r="CY12" s="446">
        <f t="shared" si="7"/>
        <v>0</v>
      </c>
      <c r="CZ12" s="446">
        <f t="shared" si="7"/>
        <v>0</v>
      </c>
      <c r="DA12" s="446">
        <f t="shared" si="7"/>
        <v>0</v>
      </c>
      <c r="DB12" s="446">
        <f t="shared" si="7"/>
        <v>0</v>
      </c>
      <c r="DC12" s="446">
        <f t="shared" si="7"/>
        <v>0</v>
      </c>
      <c r="DD12" s="446">
        <f t="shared" si="7"/>
        <v>0</v>
      </c>
      <c r="DE12" s="446">
        <f t="shared" si="7"/>
        <v>0</v>
      </c>
      <c r="DF12" s="446">
        <f t="shared" si="7"/>
        <v>0</v>
      </c>
      <c r="DG12" s="446">
        <f t="shared" si="7"/>
        <v>0</v>
      </c>
      <c r="DH12" s="446">
        <f t="shared" si="7"/>
        <v>0</v>
      </c>
      <c r="DI12" s="446">
        <f t="shared" si="7"/>
        <v>0</v>
      </c>
      <c r="DJ12" s="446">
        <f t="shared" si="7"/>
        <v>0</v>
      </c>
      <c r="DK12" s="446">
        <f t="shared" si="7"/>
        <v>0</v>
      </c>
      <c r="DL12" s="446">
        <f t="shared" si="7"/>
        <v>0</v>
      </c>
      <c r="DM12" s="446">
        <f t="shared" si="7"/>
        <v>0</v>
      </c>
      <c r="DN12" s="446">
        <f t="shared" si="7"/>
        <v>0</v>
      </c>
      <c r="DO12" s="446">
        <f t="shared" si="7"/>
        <v>0</v>
      </c>
      <c r="DP12" s="446">
        <f t="shared" si="7"/>
        <v>0</v>
      </c>
      <c r="DQ12" s="446">
        <f t="shared" si="7"/>
        <v>0</v>
      </c>
      <c r="DR12" s="446">
        <f t="shared" si="7"/>
        <v>0</v>
      </c>
      <c r="DS12" s="446">
        <f t="shared" si="7"/>
        <v>0</v>
      </c>
      <c r="DT12" s="446">
        <f t="shared" si="7"/>
        <v>0</v>
      </c>
      <c r="DU12" s="446">
        <f t="shared" si="7"/>
        <v>0</v>
      </c>
      <c r="DV12" s="446">
        <f t="shared" si="7"/>
        <v>0</v>
      </c>
      <c r="DW12" s="446">
        <f t="shared" si="7"/>
        <v>0</v>
      </c>
      <c r="DX12" s="446">
        <f t="shared" si="7"/>
        <v>0</v>
      </c>
      <c r="DY12" s="446">
        <f t="shared" si="7"/>
        <v>0</v>
      </c>
      <c r="DZ12" s="446">
        <f t="shared" si="7"/>
        <v>0</v>
      </c>
      <c r="EA12" s="446">
        <f t="shared" si="7"/>
        <v>0</v>
      </c>
      <c r="EB12" s="446">
        <f t="shared" si="7"/>
        <v>0</v>
      </c>
      <c r="EC12" s="446">
        <f t="shared" si="7"/>
        <v>0</v>
      </c>
      <c r="ED12" s="446">
        <f t="shared" si="7"/>
        <v>0</v>
      </c>
      <c r="EE12" s="446">
        <f t="shared" si="7"/>
        <v>0</v>
      </c>
      <c r="EF12" s="446">
        <f t="shared" si="7"/>
        <v>0</v>
      </c>
      <c r="EG12" s="446">
        <f t="shared" si="7"/>
        <v>0</v>
      </c>
      <c r="EH12" s="446">
        <f t="shared" si="7"/>
        <v>0</v>
      </c>
      <c r="EI12" s="446">
        <f t="shared" si="7"/>
        <v>0</v>
      </c>
      <c r="EJ12" s="446">
        <f t="shared" si="7"/>
        <v>0</v>
      </c>
      <c r="EK12" s="446">
        <f t="shared" ref="EK12" si="10">ROUNDUP($L12*EK$4,0)</f>
        <v>0</v>
      </c>
      <c r="EL12" s="446">
        <f t="shared" si="8"/>
        <v>0</v>
      </c>
      <c r="EM12" s="446">
        <f t="shared" si="8"/>
        <v>0</v>
      </c>
      <c r="EN12" s="446">
        <f t="shared" si="8"/>
        <v>0</v>
      </c>
      <c r="EO12" s="446">
        <f t="shared" si="8"/>
        <v>0</v>
      </c>
      <c r="EP12" s="446">
        <f t="shared" si="8"/>
        <v>0</v>
      </c>
      <c r="EQ12" s="446">
        <f t="shared" si="8"/>
        <v>0</v>
      </c>
      <c r="ER12" s="446">
        <f t="shared" si="8"/>
        <v>0</v>
      </c>
      <c r="ES12" s="446">
        <f t="shared" si="8"/>
        <v>0</v>
      </c>
      <c r="ET12" s="446">
        <f t="shared" si="8"/>
        <v>0</v>
      </c>
      <c r="EU12" s="446">
        <f t="shared" si="8"/>
        <v>0</v>
      </c>
      <c r="EV12" s="446">
        <f t="shared" si="8"/>
        <v>0</v>
      </c>
      <c r="EW12" s="446">
        <f t="shared" si="8"/>
        <v>0</v>
      </c>
      <c r="EX12" s="446">
        <f t="shared" si="8"/>
        <v>0</v>
      </c>
      <c r="EY12" s="446">
        <f t="shared" si="8"/>
        <v>0</v>
      </c>
      <c r="EZ12" s="446">
        <f t="shared" si="8"/>
        <v>0</v>
      </c>
      <c r="FA12" s="446">
        <f t="shared" si="8"/>
        <v>0</v>
      </c>
      <c r="FB12" s="446">
        <f t="shared" si="8"/>
        <v>0</v>
      </c>
      <c r="FC12" s="446">
        <f t="shared" si="8"/>
        <v>0</v>
      </c>
      <c r="FD12" s="446">
        <f t="shared" si="8"/>
        <v>0</v>
      </c>
      <c r="FE12" s="446">
        <f t="shared" si="8"/>
        <v>0</v>
      </c>
      <c r="FF12" s="446">
        <f t="shared" si="8"/>
        <v>0</v>
      </c>
      <c r="FG12" s="446">
        <f t="shared" si="8"/>
        <v>0</v>
      </c>
      <c r="FH12" s="446">
        <f t="shared" si="8"/>
        <v>0</v>
      </c>
      <c r="FI12" s="446">
        <f t="shared" si="8"/>
        <v>0</v>
      </c>
      <c r="FJ12" s="446">
        <f t="shared" si="8"/>
        <v>0</v>
      </c>
      <c r="FK12" s="446">
        <f t="shared" si="8"/>
        <v>0</v>
      </c>
      <c r="FL12" s="446">
        <f t="shared" si="8"/>
        <v>0</v>
      </c>
      <c r="FM12" s="446">
        <f>SUM(טבלה8[[#This Row],[1]:[156]])</f>
        <v>0</v>
      </c>
      <c r="FN12" s="447">
        <f>טבלה8[[#This Row],[סה"כ]]</f>
        <v>0</v>
      </c>
      <c r="FO12" s="554" t="str">
        <f>טבלה8[[#This Row],[מוצר]]</f>
        <v>גבינה לבנה 250 ג'</v>
      </c>
      <c r="FP12" s="554"/>
    </row>
    <row r="13" spans="1:174" ht="16.5" customHeight="1">
      <c r="A13" s="440" t="s">
        <v>211</v>
      </c>
      <c r="B13" s="440">
        <v>5</v>
      </c>
      <c r="C13" s="440">
        <v>9107</v>
      </c>
      <c r="D13" s="427" t="e">
        <f>SUMIF([2]!טבלה6[קוד מוצר],C13,[2]!טבלה6[מחיר לקוח])</f>
        <v>#REF!</v>
      </c>
      <c r="E13" s="440">
        <f>IF(J13=$FR$19,25,1)</f>
        <v>25</v>
      </c>
      <c r="F13" s="427" t="e">
        <f t="shared" si="0"/>
        <v>#REF!</v>
      </c>
      <c r="G13" s="441">
        <v>0.17</v>
      </c>
      <c r="H13" s="442" t="e">
        <f t="shared" si="1"/>
        <v>#REF!</v>
      </c>
      <c r="I13" s="443" t="e">
        <f t="shared" si="2"/>
        <v>#REF!</v>
      </c>
      <c r="J13" s="440" t="s">
        <v>70</v>
      </c>
      <c r="K13" s="444" t="s">
        <v>165</v>
      </c>
      <c r="L13" s="450">
        <f>1/1</f>
        <v>1</v>
      </c>
      <c r="M13" s="446">
        <f>IF($J$13=$FR$20,0,ROUNDUP($L13*M$4,0))</f>
        <v>0</v>
      </c>
      <c r="N13" s="446">
        <f>IF($J$13=$FR$20,0,ROUNDUP($L13*N$4,0))</f>
        <v>0</v>
      </c>
      <c r="O13" s="446">
        <f>IF($J$13=$FR$20,0,ROUNDUP($L13*O$4,0))</f>
        <v>0</v>
      </c>
      <c r="P13" s="446">
        <f>IF($J$13=$FR$20,0,ROUNDUP($L13*P$4,0))</f>
        <v>0</v>
      </c>
      <c r="Q13" s="446">
        <f>IF($J$13=$FR$20,0,ROUNDUP($L13*Q$4,0))</f>
        <v>0</v>
      </c>
      <c r="R13" s="446">
        <f t="shared" ref="R13:BY13" si="11">IF($J$13=$FR$20,0,ROUNDUP($L13*R$4,0))</f>
        <v>0</v>
      </c>
      <c r="S13" s="446">
        <f t="shared" si="11"/>
        <v>0</v>
      </c>
      <c r="T13" s="446">
        <f t="shared" si="11"/>
        <v>0</v>
      </c>
      <c r="U13" s="446">
        <f t="shared" si="11"/>
        <v>0</v>
      </c>
      <c r="V13" s="446">
        <f t="shared" si="11"/>
        <v>0</v>
      </c>
      <c r="W13" s="446">
        <f t="shared" si="11"/>
        <v>0</v>
      </c>
      <c r="X13" s="446">
        <f t="shared" si="11"/>
        <v>0</v>
      </c>
      <c r="Y13" s="446">
        <f t="shared" si="11"/>
        <v>0</v>
      </c>
      <c r="Z13" s="446">
        <f t="shared" si="11"/>
        <v>0</v>
      </c>
      <c r="AA13" s="446">
        <f t="shared" si="11"/>
        <v>0</v>
      </c>
      <c r="AB13" s="446">
        <f t="shared" si="11"/>
        <v>0</v>
      </c>
      <c r="AC13" s="446">
        <f t="shared" si="11"/>
        <v>0</v>
      </c>
      <c r="AD13" s="446">
        <f t="shared" si="11"/>
        <v>0</v>
      </c>
      <c r="AE13" s="446">
        <f t="shared" si="11"/>
        <v>0</v>
      </c>
      <c r="AF13" s="446">
        <f t="shared" si="11"/>
        <v>0</v>
      </c>
      <c r="AG13" s="446">
        <f t="shared" si="11"/>
        <v>0</v>
      </c>
      <c r="AH13" s="446">
        <f t="shared" si="11"/>
        <v>0</v>
      </c>
      <c r="AI13" s="446">
        <f t="shared" si="11"/>
        <v>0</v>
      </c>
      <c r="AJ13" s="446">
        <f t="shared" si="11"/>
        <v>0</v>
      </c>
      <c r="AK13" s="446">
        <f t="shared" si="11"/>
        <v>0</v>
      </c>
      <c r="AL13" s="446">
        <f t="shared" si="11"/>
        <v>0</v>
      </c>
      <c r="AM13" s="446">
        <f t="shared" si="11"/>
        <v>0</v>
      </c>
      <c r="AN13" s="446">
        <f t="shared" si="11"/>
        <v>0</v>
      </c>
      <c r="AO13" s="446">
        <f t="shared" si="11"/>
        <v>0</v>
      </c>
      <c r="AP13" s="446">
        <f t="shared" si="11"/>
        <v>0</v>
      </c>
      <c r="AQ13" s="446">
        <f t="shared" si="11"/>
        <v>0</v>
      </c>
      <c r="AR13" s="446">
        <f t="shared" si="11"/>
        <v>0</v>
      </c>
      <c r="AS13" s="446">
        <f t="shared" si="11"/>
        <v>0</v>
      </c>
      <c r="AT13" s="446">
        <f t="shared" si="11"/>
        <v>0</v>
      </c>
      <c r="AU13" s="446">
        <f t="shared" si="11"/>
        <v>0</v>
      </c>
      <c r="AV13" s="446">
        <f t="shared" si="11"/>
        <v>0</v>
      </c>
      <c r="AW13" s="446">
        <f t="shared" si="11"/>
        <v>0</v>
      </c>
      <c r="AX13" s="446">
        <f t="shared" si="11"/>
        <v>0</v>
      </c>
      <c r="AY13" s="446">
        <f t="shared" si="11"/>
        <v>0</v>
      </c>
      <c r="AZ13" s="446">
        <f t="shared" ref="AZ13:BA13" si="12">IF($J$13=$FR$20,0,ROUNDUP($L13*AZ$4,0))</f>
        <v>0</v>
      </c>
      <c r="BA13" s="446">
        <f t="shared" si="12"/>
        <v>0</v>
      </c>
      <c r="BB13" s="446">
        <f t="shared" ref="BB13:BH13" si="13">IF($J$13=$FR$20,0,ROUNDUP($L13*BB$4,0))</f>
        <v>0</v>
      </c>
      <c r="BC13" s="446">
        <f t="shared" si="13"/>
        <v>0</v>
      </c>
      <c r="BD13" s="446">
        <f t="shared" si="13"/>
        <v>0</v>
      </c>
      <c r="BE13" s="446">
        <f t="shared" si="13"/>
        <v>0</v>
      </c>
      <c r="BF13" s="446">
        <f t="shared" si="13"/>
        <v>0</v>
      </c>
      <c r="BG13" s="446">
        <f t="shared" si="13"/>
        <v>0</v>
      </c>
      <c r="BH13" s="446">
        <f t="shared" si="13"/>
        <v>0</v>
      </c>
      <c r="BI13" s="638">
        <f t="shared" si="11"/>
        <v>0</v>
      </c>
      <c r="BJ13" s="446">
        <f t="shared" si="11"/>
        <v>0</v>
      </c>
      <c r="BK13" s="446">
        <f t="shared" si="11"/>
        <v>0</v>
      </c>
      <c r="BL13" s="446">
        <f t="shared" si="11"/>
        <v>0</v>
      </c>
      <c r="BM13" s="446">
        <f t="shared" si="11"/>
        <v>0</v>
      </c>
      <c r="BN13" s="446">
        <f t="shared" si="11"/>
        <v>0</v>
      </c>
      <c r="BO13" s="446">
        <f t="shared" si="11"/>
        <v>0</v>
      </c>
      <c r="BP13" s="446">
        <f t="shared" si="11"/>
        <v>0</v>
      </c>
      <c r="BQ13" s="446">
        <f t="shared" si="11"/>
        <v>0</v>
      </c>
      <c r="BR13" s="446">
        <f t="shared" si="11"/>
        <v>0</v>
      </c>
      <c r="BS13" s="446">
        <f t="shared" si="11"/>
        <v>0</v>
      </c>
      <c r="BT13" s="446">
        <f t="shared" si="11"/>
        <v>0</v>
      </c>
      <c r="BU13" s="446">
        <f t="shared" si="11"/>
        <v>0</v>
      </c>
      <c r="BV13" s="446">
        <f t="shared" si="11"/>
        <v>0</v>
      </c>
      <c r="BW13" s="446">
        <f t="shared" si="11"/>
        <v>0</v>
      </c>
      <c r="BX13" s="446">
        <f t="shared" si="11"/>
        <v>0</v>
      </c>
      <c r="BY13" s="446">
        <f t="shared" si="11"/>
        <v>0</v>
      </c>
      <c r="BZ13" s="446">
        <f t="shared" ref="BZ13:EK13" si="14">IF($J$13=$FR$20,0,ROUNDUP($L13*BZ$4,0))</f>
        <v>0</v>
      </c>
      <c r="CA13" s="446">
        <f t="shared" si="14"/>
        <v>0</v>
      </c>
      <c r="CB13" s="446">
        <f t="shared" si="14"/>
        <v>0</v>
      </c>
      <c r="CC13" s="446">
        <f t="shared" si="14"/>
        <v>0</v>
      </c>
      <c r="CD13" s="446">
        <f t="shared" si="14"/>
        <v>0</v>
      </c>
      <c r="CE13" s="446">
        <f t="shared" si="14"/>
        <v>0</v>
      </c>
      <c r="CF13" s="446">
        <f t="shared" si="14"/>
        <v>0</v>
      </c>
      <c r="CG13" s="446">
        <f t="shared" si="14"/>
        <v>0</v>
      </c>
      <c r="CH13" s="446">
        <f t="shared" si="14"/>
        <v>0</v>
      </c>
      <c r="CI13" s="446">
        <f t="shared" si="14"/>
        <v>0</v>
      </c>
      <c r="CJ13" s="446">
        <f t="shared" si="14"/>
        <v>0</v>
      </c>
      <c r="CK13" s="446">
        <f t="shared" si="14"/>
        <v>0</v>
      </c>
      <c r="CL13" s="446">
        <f t="shared" si="14"/>
        <v>0</v>
      </c>
      <c r="CM13" s="446">
        <f t="shared" si="14"/>
        <v>0</v>
      </c>
      <c r="CN13" s="446">
        <f t="shared" si="14"/>
        <v>0</v>
      </c>
      <c r="CO13" s="446">
        <f t="shared" si="14"/>
        <v>0</v>
      </c>
      <c r="CP13" s="446">
        <f t="shared" si="14"/>
        <v>0</v>
      </c>
      <c r="CQ13" s="446">
        <f t="shared" si="14"/>
        <v>0</v>
      </c>
      <c r="CR13" s="446">
        <f t="shared" si="14"/>
        <v>0</v>
      </c>
      <c r="CS13" s="446">
        <f t="shared" si="14"/>
        <v>0</v>
      </c>
      <c r="CT13" s="446">
        <f t="shared" si="14"/>
        <v>0</v>
      </c>
      <c r="CU13" s="446">
        <f t="shared" si="14"/>
        <v>0</v>
      </c>
      <c r="CV13" s="446">
        <f t="shared" si="14"/>
        <v>0</v>
      </c>
      <c r="CW13" s="446">
        <f t="shared" si="14"/>
        <v>0</v>
      </c>
      <c r="CX13" s="446">
        <f t="shared" si="14"/>
        <v>0</v>
      </c>
      <c r="CY13" s="446">
        <f t="shared" si="14"/>
        <v>0</v>
      </c>
      <c r="CZ13" s="446">
        <f t="shared" si="14"/>
        <v>0</v>
      </c>
      <c r="DA13" s="446">
        <f t="shared" si="14"/>
        <v>0</v>
      </c>
      <c r="DB13" s="446">
        <f t="shared" si="14"/>
        <v>0</v>
      </c>
      <c r="DC13" s="446">
        <f t="shared" si="14"/>
        <v>0</v>
      </c>
      <c r="DD13" s="446">
        <f t="shared" si="14"/>
        <v>0</v>
      </c>
      <c r="DE13" s="446">
        <f t="shared" si="14"/>
        <v>0</v>
      </c>
      <c r="DF13" s="446">
        <f t="shared" si="14"/>
        <v>0</v>
      </c>
      <c r="DG13" s="446">
        <f t="shared" si="14"/>
        <v>0</v>
      </c>
      <c r="DH13" s="446">
        <f t="shared" si="14"/>
        <v>0</v>
      </c>
      <c r="DI13" s="446">
        <f t="shared" si="14"/>
        <v>0</v>
      </c>
      <c r="DJ13" s="446">
        <f t="shared" si="14"/>
        <v>0</v>
      </c>
      <c r="DK13" s="446">
        <f t="shared" si="14"/>
        <v>0</v>
      </c>
      <c r="DL13" s="446">
        <f t="shared" si="14"/>
        <v>0</v>
      </c>
      <c r="DM13" s="446">
        <f t="shared" si="14"/>
        <v>0</v>
      </c>
      <c r="DN13" s="446">
        <f t="shared" si="14"/>
        <v>0</v>
      </c>
      <c r="DO13" s="446">
        <f t="shared" si="14"/>
        <v>0</v>
      </c>
      <c r="DP13" s="446">
        <f t="shared" si="14"/>
        <v>0</v>
      </c>
      <c r="DQ13" s="446">
        <f t="shared" si="14"/>
        <v>0</v>
      </c>
      <c r="DR13" s="446">
        <f t="shared" si="14"/>
        <v>0</v>
      </c>
      <c r="DS13" s="446">
        <f t="shared" si="14"/>
        <v>0</v>
      </c>
      <c r="DT13" s="446">
        <f t="shared" si="14"/>
        <v>0</v>
      </c>
      <c r="DU13" s="446">
        <f t="shared" si="14"/>
        <v>0</v>
      </c>
      <c r="DV13" s="446">
        <f t="shared" si="14"/>
        <v>0</v>
      </c>
      <c r="DW13" s="446">
        <f t="shared" si="14"/>
        <v>0</v>
      </c>
      <c r="DX13" s="446">
        <f t="shared" si="14"/>
        <v>0</v>
      </c>
      <c r="DY13" s="446">
        <f t="shared" si="14"/>
        <v>0</v>
      </c>
      <c r="DZ13" s="446">
        <f t="shared" si="14"/>
        <v>0</v>
      </c>
      <c r="EA13" s="446">
        <f t="shared" si="14"/>
        <v>0</v>
      </c>
      <c r="EB13" s="446">
        <f t="shared" si="14"/>
        <v>0</v>
      </c>
      <c r="EC13" s="446">
        <f t="shared" si="14"/>
        <v>0</v>
      </c>
      <c r="ED13" s="446">
        <f t="shared" si="14"/>
        <v>0</v>
      </c>
      <c r="EE13" s="446">
        <f t="shared" si="14"/>
        <v>0</v>
      </c>
      <c r="EF13" s="446">
        <f t="shared" si="14"/>
        <v>0</v>
      </c>
      <c r="EG13" s="446">
        <f t="shared" si="14"/>
        <v>0</v>
      </c>
      <c r="EH13" s="446">
        <f t="shared" si="14"/>
        <v>0</v>
      </c>
      <c r="EI13" s="446">
        <f t="shared" si="14"/>
        <v>0</v>
      </c>
      <c r="EJ13" s="446">
        <f t="shared" si="14"/>
        <v>0</v>
      </c>
      <c r="EK13" s="446">
        <f t="shared" si="14"/>
        <v>0</v>
      </c>
      <c r="EL13" s="446">
        <f t="shared" ref="EL13:FL13" si="15">IF($J$13=$FR$20,0,ROUNDUP($L13*EL$4,0))</f>
        <v>0</v>
      </c>
      <c r="EM13" s="446">
        <f t="shared" si="15"/>
        <v>0</v>
      </c>
      <c r="EN13" s="446">
        <f t="shared" si="15"/>
        <v>0</v>
      </c>
      <c r="EO13" s="446">
        <f t="shared" si="15"/>
        <v>0</v>
      </c>
      <c r="EP13" s="446">
        <f t="shared" si="15"/>
        <v>0</v>
      </c>
      <c r="EQ13" s="446">
        <f t="shared" si="15"/>
        <v>0</v>
      </c>
      <c r="ER13" s="446">
        <f t="shared" si="15"/>
        <v>0</v>
      </c>
      <c r="ES13" s="446">
        <f t="shared" si="15"/>
        <v>0</v>
      </c>
      <c r="ET13" s="446">
        <f t="shared" si="15"/>
        <v>0</v>
      </c>
      <c r="EU13" s="446">
        <f t="shared" si="15"/>
        <v>0</v>
      </c>
      <c r="EV13" s="446">
        <f t="shared" si="15"/>
        <v>0</v>
      </c>
      <c r="EW13" s="446">
        <f t="shared" si="15"/>
        <v>0</v>
      </c>
      <c r="EX13" s="446">
        <f t="shared" si="15"/>
        <v>0</v>
      </c>
      <c r="EY13" s="446">
        <f t="shared" si="15"/>
        <v>0</v>
      </c>
      <c r="EZ13" s="446">
        <f t="shared" si="15"/>
        <v>0</v>
      </c>
      <c r="FA13" s="446">
        <f t="shared" si="15"/>
        <v>0</v>
      </c>
      <c r="FB13" s="446">
        <f t="shared" si="15"/>
        <v>0</v>
      </c>
      <c r="FC13" s="446">
        <f t="shared" si="15"/>
        <v>0</v>
      </c>
      <c r="FD13" s="446">
        <f t="shared" si="15"/>
        <v>0</v>
      </c>
      <c r="FE13" s="446">
        <f t="shared" si="15"/>
        <v>0</v>
      </c>
      <c r="FF13" s="446">
        <f t="shared" si="15"/>
        <v>0</v>
      </c>
      <c r="FG13" s="446">
        <f t="shared" si="15"/>
        <v>0</v>
      </c>
      <c r="FH13" s="446">
        <f t="shared" si="15"/>
        <v>0</v>
      </c>
      <c r="FI13" s="446">
        <f t="shared" si="15"/>
        <v>0</v>
      </c>
      <c r="FJ13" s="446">
        <f t="shared" si="15"/>
        <v>0</v>
      </c>
      <c r="FK13" s="446">
        <f t="shared" si="15"/>
        <v>0</v>
      </c>
      <c r="FL13" s="446">
        <f t="shared" si="15"/>
        <v>0</v>
      </c>
      <c r="FM13" s="446">
        <f>SUM(טבלה8[[#This Row],[1]:[156]])</f>
        <v>0</v>
      </c>
      <c r="FN13" s="447">
        <f>CEILING(טבלה8[[#This Row],[סה"כ]],25)/25</f>
        <v>0</v>
      </c>
      <c r="FO13" s="554" t="str">
        <f>טבלה8[[#This Row],[מוצר]]</f>
        <v>שוקו</v>
      </c>
      <c r="FP13" s="554"/>
      <c r="FR13" s="448" t="s">
        <v>675</v>
      </c>
    </row>
    <row r="14" spans="1:174" s="219" customFormat="1" ht="16.5" customHeight="1">
      <c r="A14" s="440" t="s">
        <v>211</v>
      </c>
      <c r="B14" s="440">
        <v>6</v>
      </c>
      <c r="C14" s="223">
        <v>5511</v>
      </c>
      <c r="D14" s="427" t="e">
        <f>SUMIF([2]!טבלה6[קוד מוצר],C14,[2]!טבלה6[מחיר לקוח])</f>
        <v>#REF!</v>
      </c>
      <c r="E14" s="440">
        <v>1</v>
      </c>
      <c r="F14" s="427" t="e">
        <f t="shared" si="0"/>
        <v>#REF!</v>
      </c>
      <c r="G14" s="441">
        <v>0.17</v>
      </c>
      <c r="H14" s="442" t="e">
        <f t="shared" si="1"/>
        <v>#REF!</v>
      </c>
      <c r="I14" s="443" t="e">
        <f t="shared" si="2"/>
        <v>#REF!</v>
      </c>
      <c r="J14" s="440" t="str">
        <f>IF(J13=$FR$20,FR21,FR23)</f>
        <v>---</v>
      </c>
      <c r="K14" s="444" t="s">
        <v>676</v>
      </c>
      <c r="L14" s="449">
        <f>IF(J13=FR$20,2/3,0)</f>
        <v>0</v>
      </c>
      <c r="M14" s="446">
        <f t="shared" ref="M14:Q15" si="16">ROUNDUP($L14*M$4,0)</f>
        <v>0</v>
      </c>
      <c r="N14" s="446">
        <f t="shared" si="16"/>
        <v>0</v>
      </c>
      <c r="O14" s="446">
        <f t="shared" si="16"/>
        <v>0</v>
      </c>
      <c r="P14" s="446">
        <f t="shared" si="16"/>
        <v>0</v>
      </c>
      <c r="Q14" s="446">
        <f t="shared" si="16"/>
        <v>0</v>
      </c>
      <c r="R14" s="446">
        <f t="shared" ref="R14:BY15" si="17">ROUNDUP($L14*R$4,0)</f>
        <v>0</v>
      </c>
      <c r="S14" s="446">
        <f t="shared" si="17"/>
        <v>0</v>
      </c>
      <c r="T14" s="446">
        <f t="shared" si="17"/>
        <v>0</v>
      </c>
      <c r="U14" s="446">
        <f t="shared" si="17"/>
        <v>0</v>
      </c>
      <c r="V14" s="446">
        <f t="shared" si="17"/>
        <v>0</v>
      </c>
      <c r="W14" s="446">
        <f t="shared" si="17"/>
        <v>0</v>
      </c>
      <c r="X14" s="446">
        <f t="shared" si="17"/>
        <v>0</v>
      </c>
      <c r="Y14" s="446">
        <f t="shared" si="17"/>
        <v>0</v>
      </c>
      <c r="Z14" s="446">
        <f t="shared" si="17"/>
        <v>0</v>
      </c>
      <c r="AA14" s="446">
        <f t="shared" si="17"/>
        <v>0</v>
      </c>
      <c r="AB14" s="446">
        <f t="shared" si="17"/>
        <v>0</v>
      </c>
      <c r="AC14" s="446">
        <f t="shared" si="17"/>
        <v>0</v>
      </c>
      <c r="AD14" s="446">
        <f t="shared" si="17"/>
        <v>0</v>
      </c>
      <c r="AE14" s="446">
        <f t="shared" si="17"/>
        <v>0</v>
      </c>
      <c r="AF14" s="446">
        <f t="shared" si="17"/>
        <v>0</v>
      </c>
      <c r="AG14" s="446">
        <f t="shared" si="17"/>
        <v>0</v>
      </c>
      <c r="AH14" s="446">
        <f t="shared" si="17"/>
        <v>0</v>
      </c>
      <c r="AI14" s="446">
        <f t="shared" si="17"/>
        <v>0</v>
      </c>
      <c r="AJ14" s="446">
        <f t="shared" si="17"/>
        <v>0</v>
      </c>
      <c r="AK14" s="446">
        <f t="shared" si="17"/>
        <v>0</v>
      </c>
      <c r="AL14" s="446">
        <f t="shared" si="17"/>
        <v>0</v>
      </c>
      <c r="AM14" s="446">
        <f t="shared" si="17"/>
        <v>0</v>
      </c>
      <c r="AN14" s="446">
        <f t="shared" si="17"/>
        <v>0</v>
      </c>
      <c r="AO14" s="446">
        <f t="shared" si="17"/>
        <v>0</v>
      </c>
      <c r="AP14" s="446">
        <f t="shared" si="17"/>
        <v>0</v>
      </c>
      <c r="AQ14" s="446">
        <f t="shared" si="17"/>
        <v>0</v>
      </c>
      <c r="AR14" s="446">
        <f t="shared" si="17"/>
        <v>0</v>
      </c>
      <c r="AS14" s="446">
        <f t="shared" si="17"/>
        <v>0</v>
      </c>
      <c r="AT14" s="446">
        <f t="shared" si="17"/>
        <v>0</v>
      </c>
      <c r="AU14" s="446">
        <f t="shared" si="17"/>
        <v>0</v>
      </c>
      <c r="AV14" s="446">
        <f t="shared" si="17"/>
        <v>0</v>
      </c>
      <c r="AW14" s="446">
        <f t="shared" si="17"/>
        <v>0</v>
      </c>
      <c r="AX14" s="446">
        <f t="shared" si="17"/>
        <v>0</v>
      </c>
      <c r="AY14" s="446">
        <f t="shared" si="17"/>
        <v>0</v>
      </c>
      <c r="AZ14" s="446">
        <f t="shared" ref="AZ14:BA15" si="18">ROUNDUP($L14*AZ$4,0)</f>
        <v>0</v>
      </c>
      <c r="BA14" s="446">
        <f t="shared" si="18"/>
        <v>0</v>
      </c>
      <c r="BB14" s="446">
        <f t="shared" ref="BB14:BH15" si="19">ROUNDUP($L14*BB$4,0)</f>
        <v>0</v>
      </c>
      <c r="BC14" s="446">
        <f t="shared" si="19"/>
        <v>0</v>
      </c>
      <c r="BD14" s="446">
        <f t="shared" si="19"/>
        <v>0</v>
      </c>
      <c r="BE14" s="446">
        <f t="shared" si="19"/>
        <v>0</v>
      </c>
      <c r="BF14" s="446">
        <f t="shared" si="19"/>
        <v>0</v>
      </c>
      <c r="BG14" s="446">
        <f t="shared" si="19"/>
        <v>0</v>
      </c>
      <c r="BH14" s="446">
        <f t="shared" si="19"/>
        <v>0</v>
      </c>
      <c r="BI14" s="638">
        <f t="shared" si="17"/>
        <v>0</v>
      </c>
      <c r="BJ14" s="446">
        <f t="shared" si="17"/>
        <v>0</v>
      </c>
      <c r="BK14" s="446">
        <f t="shared" si="17"/>
        <v>0</v>
      </c>
      <c r="BL14" s="446">
        <f t="shared" si="17"/>
        <v>0</v>
      </c>
      <c r="BM14" s="446">
        <f t="shared" si="17"/>
        <v>0</v>
      </c>
      <c r="BN14" s="446">
        <f t="shared" si="17"/>
        <v>0</v>
      </c>
      <c r="BO14" s="446">
        <f t="shared" si="17"/>
        <v>0</v>
      </c>
      <c r="BP14" s="446">
        <f t="shared" si="17"/>
        <v>0</v>
      </c>
      <c r="BQ14" s="446">
        <f t="shared" si="17"/>
        <v>0</v>
      </c>
      <c r="BR14" s="446">
        <f t="shared" si="17"/>
        <v>0</v>
      </c>
      <c r="BS14" s="446">
        <f t="shared" si="17"/>
        <v>0</v>
      </c>
      <c r="BT14" s="446">
        <f t="shared" si="17"/>
        <v>0</v>
      </c>
      <c r="BU14" s="446">
        <f t="shared" si="17"/>
        <v>0</v>
      </c>
      <c r="BV14" s="446">
        <f t="shared" si="17"/>
        <v>0</v>
      </c>
      <c r="BW14" s="446">
        <f t="shared" si="17"/>
        <v>0</v>
      </c>
      <c r="BX14" s="446">
        <f t="shared" si="17"/>
        <v>0</v>
      </c>
      <c r="BY14" s="446">
        <f t="shared" si="17"/>
        <v>0</v>
      </c>
      <c r="BZ14" s="446">
        <f t="shared" ref="BZ14:EK15" si="20">ROUNDUP($L14*BZ$4,0)</f>
        <v>0</v>
      </c>
      <c r="CA14" s="446">
        <f t="shared" si="20"/>
        <v>0</v>
      </c>
      <c r="CB14" s="446">
        <f t="shared" si="20"/>
        <v>0</v>
      </c>
      <c r="CC14" s="446">
        <f t="shared" si="20"/>
        <v>0</v>
      </c>
      <c r="CD14" s="446">
        <f t="shared" si="20"/>
        <v>0</v>
      </c>
      <c r="CE14" s="446">
        <f t="shared" si="20"/>
        <v>0</v>
      </c>
      <c r="CF14" s="446">
        <f t="shared" si="20"/>
        <v>0</v>
      </c>
      <c r="CG14" s="446">
        <f t="shared" si="20"/>
        <v>0</v>
      </c>
      <c r="CH14" s="446">
        <f t="shared" si="20"/>
        <v>0</v>
      </c>
      <c r="CI14" s="446">
        <f t="shared" si="20"/>
        <v>0</v>
      </c>
      <c r="CJ14" s="446">
        <f t="shared" si="20"/>
        <v>0</v>
      </c>
      <c r="CK14" s="446">
        <f t="shared" si="20"/>
        <v>0</v>
      </c>
      <c r="CL14" s="446">
        <f t="shared" si="20"/>
        <v>0</v>
      </c>
      <c r="CM14" s="446">
        <f t="shared" si="20"/>
        <v>0</v>
      </c>
      <c r="CN14" s="446">
        <f t="shared" si="20"/>
        <v>0</v>
      </c>
      <c r="CO14" s="446">
        <f t="shared" si="20"/>
        <v>0</v>
      </c>
      <c r="CP14" s="446">
        <f t="shared" si="20"/>
        <v>0</v>
      </c>
      <c r="CQ14" s="446">
        <f t="shared" si="20"/>
        <v>0</v>
      </c>
      <c r="CR14" s="446">
        <f t="shared" si="20"/>
        <v>0</v>
      </c>
      <c r="CS14" s="446">
        <f t="shared" si="20"/>
        <v>0</v>
      </c>
      <c r="CT14" s="446">
        <f t="shared" si="20"/>
        <v>0</v>
      </c>
      <c r="CU14" s="446">
        <f t="shared" si="20"/>
        <v>0</v>
      </c>
      <c r="CV14" s="446">
        <f t="shared" si="20"/>
        <v>0</v>
      </c>
      <c r="CW14" s="446">
        <f t="shared" si="20"/>
        <v>0</v>
      </c>
      <c r="CX14" s="446">
        <f t="shared" si="20"/>
        <v>0</v>
      </c>
      <c r="CY14" s="446">
        <f t="shared" si="20"/>
        <v>0</v>
      </c>
      <c r="CZ14" s="446">
        <f t="shared" si="20"/>
        <v>0</v>
      </c>
      <c r="DA14" s="446">
        <f t="shared" si="20"/>
        <v>0</v>
      </c>
      <c r="DB14" s="446">
        <f t="shared" si="20"/>
        <v>0</v>
      </c>
      <c r="DC14" s="446">
        <f t="shared" si="20"/>
        <v>0</v>
      </c>
      <c r="DD14" s="446">
        <f t="shared" si="20"/>
        <v>0</v>
      </c>
      <c r="DE14" s="446">
        <f t="shared" si="20"/>
        <v>0</v>
      </c>
      <c r="DF14" s="446">
        <f t="shared" si="20"/>
        <v>0</v>
      </c>
      <c r="DG14" s="446">
        <f t="shared" si="20"/>
        <v>0</v>
      </c>
      <c r="DH14" s="446">
        <f t="shared" si="20"/>
        <v>0</v>
      </c>
      <c r="DI14" s="446">
        <f t="shared" si="20"/>
        <v>0</v>
      </c>
      <c r="DJ14" s="446">
        <f t="shared" si="20"/>
        <v>0</v>
      </c>
      <c r="DK14" s="446">
        <f t="shared" si="20"/>
        <v>0</v>
      </c>
      <c r="DL14" s="446">
        <f t="shared" si="20"/>
        <v>0</v>
      </c>
      <c r="DM14" s="446">
        <f t="shared" si="20"/>
        <v>0</v>
      </c>
      <c r="DN14" s="446">
        <f t="shared" si="20"/>
        <v>0</v>
      </c>
      <c r="DO14" s="446">
        <f t="shared" si="20"/>
        <v>0</v>
      </c>
      <c r="DP14" s="446">
        <f t="shared" si="20"/>
        <v>0</v>
      </c>
      <c r="DQ14" s="446">
        <f t="shared" si="20"/>
        <v>0</v>
      </c>
      <c r="DR14" s="446">
        <f t="shared" si="20"/>
        <v>0</v>
      </c>
      <c r="DS14" s="446">
        <f t="shared" si="20"/>
        <v>0</v>
      </c>
      <c r="DT14" s="446">
        <f t="shared" si="20"/>
        <v>0</v>
      </c>
      <c r="DU14" s="446">
        <f t="shared" si="20"/>
        <v>0</v>
      </c>
      <c r="DV14" s="446">
        <f t="shared" si="20"/>
        <v>0</v>
      </c>
      <c r="DW14" s="446">
        <f t="shared" si="20"/>
        <v>0</v>
      </c>
      <c r="DX14" s="446">
        <f t="shared" si="20"/>
        <v>0</v>
      </c>
      <c r="DY14" s="446">
        <f t="shared" si="20"/>
        <v>0</v>
      </c>
      <c r="DZ14" s="446">
        <f t="shared" si="20"/>
        <v>0</v>
      </c>
      <c r="EA14" s="446">
        <f t="shared" si="20"/>
        <v>0</v>
      </c>
      <c r="EB14" s="446">
        <f t="shared" si="20"/>
        <v>0</v>
      </c>
      <c r="EC14" s="446">
        <f t="shared" si="20"/>
        <v>0</v>
      </c>
      <c r="ED14" s="446">
        <f t="shared" si="20"/>
        <v>0</v>
      </c>
      <c r="EE14" s="446">
        <f t="shared" si="20"/>
        <v>0</v>
      </c>
      <c r="EF14" s="446">
        <f t="shared" si="20"/>
        <v>0</v>
      </c>
      <c r="EG14" s="446">
        <f t="shared" si="20"/>
        <v>0</v>
      </c>
      <c r="EH14" s="446">
        <f t="shared" si="20"/>
        <v>0</v>
      </c>
      <c r="EI14" s="446">
        <f t="shared" si="20"/>
        <v>0</v>
      </c>
      <c r="EJ14" s="446">
        <f t="shared" si="20"/>
        <v>0</v>
      </c>
      <c r="EK14" s="446">
        <f t="shared" si="20"/>
        <v>0</v>
      </c>
      <c r="EL14" s="446">
        <f t="shared" ref="EL14:FL15" si="21">ROUNDUP($L14*EL$4,0)</f>
        <v>0</v>
      </c>
      <c r="EM14" s="446">
        <f t="shared" si="21"/>
        <v>0</v>
      </c>
      <c r="EN14" s="446">
        <f t="shared" si="21"/>
        <v>0</v>
      </c>
      <c r="EO14" s="446">
        <f t="shared" si="21"/>
        <v>0</v>
      </c>
      <c r="EP14" s="446">
        <f t="shared" si="21"/>
        <v>0</v>
      </c>
      <c r="EQ14" s="446">
        <f t="shared" si="21"/>
        <v>0</v>
      </c>
      <c r="ER14" s="446">
        <f t="shared" si="21"/>
        <v>0</v>
      </c>
      <c r="ES14" s="446">
        <f t="shared" si="21"/>
        <v>0</v>
      </c>
      <c r="ET14" s="446">
        <f t="shared" si="21"/>
        <v>0</v>
      </c>
      <c r="EU14" s="446">
        <f t="shared" si="21"/>
        <v>0</v>
      </c>
      <c r="EV14" s="446">
        <f t="shared" si="21"/>
        <v>0</v>
      </c>
      <c r="EW14" s="446">
        <f t="shared" si="21"/>
        <v>0</v>
      </c>
      <c r="EX14" s="446">
        <f t="shared" si="21"/>
        <v>0</v>
      </c>
      <c r="EY14" s="446">
        <f t="shared" si="21"/>
        <v>0</v>
      </c>
      <c r="EZ14" s="446">
        <f t="shared" si="21"/>
        <v>0</v>
      </c>
      <c r="FA14" s="446">
        <f t="shared" si="21"/>
        <v>0</v>
      </c>
      <c r="FB14" s="446">
        <f t="shared" si="21"/>
        <v>0</v>
      </c>
      <c r="FC14" s="446">
        <f t="shared" si="21"/>
        <v>0</v>
      </c>
      <c r="FD14" s="446">
        <f t="shared" si="21"/>
        <v>0</v>
      </c>
      <c r="FE14" s="446">
        <f t="shared" si="21"/>
        <v>0</v>
      </c>
      <c r="FF14" s="446">
        <f t="shared" si="21"/>
        <v>0</v>
      </c>
      <c r="FG14" s="446">
        <f t="shared" si="21"/>
        <v>0</v>
      </c>
      <c r="FH14" s="446">
        <f t="shared" si="21"/>
        <v>0</v>
      </c>
      <c r="FI14" s="446">
        <f t="shared" si="21"/>
        <v>0</v>
      </c>
      <c r="FJ14" s="446">
        <f t="shared" si="21"/>
        <v>0</v>
      </c>
      <c r="FK14" s="446">
        <f t="shared" si="21"/>
        <v>0</v>
      </c>
      <c r="FL14" s="446">
        <f t="shared" si="21"/>
        <v>0</v>
      </c>
      <c r="FM14" s="446">
        <f>SUM(טבלה8[[#This Row],[1]:[156]])</f>
        <v>0</v>
      </c>
      <c r="FN14" s="447">
        <f>טבלה8[[#This Row],[סה"כ]]</f>
        <v>0</v>
      </c>
      <c r="FO14" s="554" t="str">
        <f>טבלה8[[#This Row],[מוצר]]</f>
        <v>---</v>
      </c>
      <c r="FP14" s="554"/>
      <c r="FQ14" s="170"/>
      <c r="FR14" s="219" t="s">
        <v>673</v>
      </c>
    </row>
    <row r="15" spans="1:174" ht="16.5" customHeight="1">
      <c r="A15" s="440" t="s">
        <v>211</v>
      </c>
      <c r="B15" s="440">
        <v>7</v>
      </c>
      <c r="C15" s="353">
        <v>5512</v>
      </c>
      <c r="D15" s="427" t="e">
        <f>SUMIF([2]!טבלה6[קוד מוצר],C15,[2]!טבלה6[מחיר לקוח])</f>
        <v>#REF!</v>
      </c>
      <c r="E15" s="440">
        <v>1</v>
      </c>
      <c r="F15" s="427" t="e">
        <f t="shared" si="0"/>
        <v>#REF!</v>
      </c>
      <c r="G15" s="441">
        <v>0.17</v>
      </c>
      <c r="H15" s="442" t="e">
        <f t="shared" si="1"/>
        <v>#REF!</v>
      </c>
      <c r="I15" s="443" t="e">
        <f t="shared" si="2"/>
        <v>#REF!</v>
      </c>
      <c r="J15" s="440" t="str">
        <f>IF(J13=$FR$20,FR22,FR23)</f>
        <v>---</v>
      </c>
      <c r="K15" s="444" t="s">
        <v>677</v>
      </c>
      <c r="L15" s="449">
        <f>IF(J13=$FR$20,1/3,0)</f>
        <v>0</v>
      </c>
      <c r="M15" s="446">
        <f t="shared" si="16"/>
        <v>0</v>
      </c>
      <c r="N15" s="446">
        <f t="shared" si="16"/>
        <v>0</v>
      </c>
      <c r="O15" s="446">
        <f t="shared" si="16"/>
        <v>0</v>
      </c>
      <c r="P15" s="446">
        <f t="shared" si="16"/>
        <v>0</v>
      </c>
      <c r="Q15" s="446">
        <f t="shared" si="16"/>
        <v>0</v>
      </c>
      <c r="R15" s="446">
        <f t="shared" si="17"/>
        <v>0</v>
      </c>
      <c r="S15" s="446">
        <f t="shared" si="17"/>
        <v>0</v>
      </c>
      <c r="T15" s="446">
        <f t="shared" si="17"/>
        <v>0</v>
      </c>
      <c r="U15" s="446">
        <f t="shared" si="17"/>
        <v>0</v>
      </c>
      <c r="V15" s="446">
        <f t="shared" si="17"/>
        <v>0</v>
      </c>
      <c r="W15" s="446">
        <f t="shared" si="17"/>
        <v>0</v>
      </c>
      <c r="X15" s="446">
        <f t="shared" si="17"/>
        <v>0</v>
      </c>
      <c r="Y15" s="446">
        <f t="shared" si="17"/>
        <v>0</v>
      </c>
      <c r="Z15" s="446">
        <f t="shared" si="17"/>
        <v>0</v>
      </c>
      <c r="AA15" s="446">
        <f t="shared" si="17"/>
        <v>0</v>
      </c>
      <c r="AB15" s="446">
        <f t="shared" si="17"/>
        <v>0</v>
      </c>
      <c r="AC15" s="446">
        <f t="shared" si="17"/>
        <v>0</v>
      </c>
      <c r="AD15" s="446">
        <f t="shared" si="17"/>
        <v>0</v>
      </c>
      <c r="AE15" s="446">
        <f t="shared" si="17"/>
        <v>0</v>
      </c>
      <c r="AF15" s="446">
        <f t="shared" si="17"/>
        <v>0</v>
      </c>
      <c r="AG15" s="446">
        <f t="shared" si="17"/>
        <v>0</v>
      </c>
      <c r="AH15" s="446">
        <f t="shared" si="17"/>
        <v>0</v>
      </c>
      <c r="AI15" s="446">
        <f t="shared" si="17"/>
        <v>0</v>
      </c>
      <c r="AJ15" s="446">
        <f t="shared" si="17"/>
        <v>0</v>
      </c>
      <c r="AK15" s="446">
        <f t="shared" si="17"/>
        <v>0</v>
      </c>
      <c r="AL15" s="446">
        <f t="shared" si="17"/>
        <v>0</v>
      </c>
      <c r="AM15" s="446">
        <f t="shared" si="17"/>
        <v>0</v>
      </c>
      <c r="AN15" s="446">
        <f t="shared" si="17"/>
        <v>0</v>
      </c>
      <c r="AO15" s="446">
        <f t="shared" si="17"/>
        <v>0</v>
      </c>
      <c r="AP15" s="446">
        <f t="shared" si="17"/>
        <v>0</v>
      </c>
      <c r="AQ15" s="446">
        <f t="shared" si="17"/>
        <v>0</v>
      </c>
      <c r="AR15" s="446">
        <f t="shared" si="17"/>
        <v>0</v>
      </c>
      <c r="AS15" s="446">
        <f t="shared" si="17"/>
        <v>0</v>
      </c>
      <c r="AT15" s="446">
        <f t="shared" si="17"/>
        <v>0</v>
      </c>
      <c r="AU15" s="446">
        <f t="shared" si="17"/>
        <v>0</v>
      </c>
      <c r="AV15" s="446">
        <f t="shared" si="17"/>
        <v>0</v>
      </c>
      <c r="AW15" s="446">
        <f t="shared" si="17"/>
        <v>0</v>
      </c>
      <c r="AX15" s="446">
        <f t="shared" si="17"/>
        <v>0</v>
      </c>
      <c r="AY15" s="446">
        <f t="shared" si="17"/>
        <v>0</v>
      </c>
      <c r="AZ15" s="446">
        <f t="shared" si="18"/>
        <v>0</v>
      </c>
      <c r="BA15" s="446">
        <f t="shared" si="18"/>
        <v>0</v>
      </c>
      <c r="BB15" s="446">
        <f t="shared" si="19"/>
        <v>0</v>
      </c>
      <c r="BC15" s="446">
        <f t="shared" si="19"/>
        <v>0</v>
      </c>
      <c r="BD15" s="446">
        <f t="shared" si="19"/>
        <v>0</v>
      </c>
      <c r="BE15" s="446">
        <f t="shared" si="19"/>
        <v>0</v>
      </c>
      <c r="BF15" s="446">
        <f t="shared" si="19"/>
        <v>0</v>
      </c>
      <c r="BG15" s="446">
        <f t="shared" si="19"/>
        <v>0</v>
      </c>
      <c r="BH15" s="446">
        <f t="shared" si="19"/>
        <v>0</v>
      </c>
      <c r="BI15" s="638">
        <f t="shared" si="17"/>
        <v>0</v>
      </c>
      <c r="BJ15" s="446">
        <f t="shared" si="17"/>
        <v>0</v>
      </c>
      <c r="BK15" s="446">
        <f t="shared" si="17"/>
        <v>0</v>
      </c>
      <c r="BL15" s="446">
        <f t="shared" si="17"/>
        <v>0</v>
      </c>
      <c r="BM15" s="446">
        <f t="shared" si="17"/>
        <v>0</v>
      </c>
      <c r="BN15" s="446">
        <f t="shared" si="17"/>
        <v>0</v>
      </c>
      <c r="BO15" s="446">
        <f t="shared" si="17"/>
        <v>0</v>
      </c>
      <c r="BP15" s="446">
        <f t="shared" si="17"/>
        <v>0</v>
      </c>
      <c r="BQ15" s="446">
        <f t="shared" si="17"/>
        <v>0</v>
      </c>
      <c r="BR15" s="446">
        <f t="shared" si="17"/>
        <v>0</v>
      </c>
      <c r="BS15" s="446">
        <f t="shared" si="17"/>
        <v>0</v>
      </c>
      <c r="BT15" s="446">
        <f t="shared" si="17"/>
        <v>0</v>
      </c>
      <c r="BU15" s="446">
        <f t="shared" si="17"/>
        <v>0</v>
      </c>
      <c r="BV15" s="446">
        <f t="shared" si="17"/>
        <v>0</v>
      </c>
      <c r="BW15" s="446">
        <f t="shared" si="17"/>
        <v>0</v>
      </c>
      <c r="BX15" s="446">
        <f t="shared" si="17"/>
        <v>0</v>
      </c>
      <c r="BY15" s="446">
        <f t="shared" si="17"/>
        <v>0</v>
      </c>
      <c r="BZ15" s="446">
        <f t="shared" si="20"/>
        <v>0</v>
      </c>
      <c r="CA15" s="446">
        <f t="shared" si="20"/>
        <v>0</v>
      </c>
      <c r="CB15" s="446">
        <f t="shared" si="20"/>
        <v>0</v>
      </c>
      <c r="CC15" s="446">
        <f t="shared" si="20"/>
        <v>0</v>
      </c>
      <c r="CD15" s="446">
        <f t="shared" si="20"/>
        <v>0</v>
      </c>
      <c r="CE15" s="446">
        <f t="shared" si="20"/>
        <v>0</v>
      </c>
      <c r="CF15" s="446">
        <f t="shared" si="20"/>
        <v>0</v>
      </c>
      <c r="CG15" s="446">
        <f t="shared" si="20"/>
        <v>0</v>
      </c>
      <c r="CH15" s="446">
        <f t="shared" si="20"/>
        <v>0</v>
      </c>
      <c r="CI15" s="446">
        <f t="shared" si="20"/>
        <v>0</v>
      </c>
      <c r="CJ15" s="446">
        <f t="shared" si="20"/>
        <v>0</v>
      </c>
      <c r="CK15" s="446">
        <f t="shared" si="20"/>
        <v>0</v>
      </c>
      <c r="CL15" s="446">
        <f t="shared" si="20"/>
        <v>0</v>
      </c>
      <c r="CM15" s="446">
        <f t="shared" si="20"/>
        <v>0</v>
      </c>
      <c r="CN15" s="446">
        <f t="shared" si="20"/>
        <v>0</v>
      </c>
      <c r="CO15" s="446">
        <f t="shared" si="20"/>
        <v>0</v>
      </c>
      <c r="CP15" s="446">
        <f t="shared" si="20"/>
        <v>0</v>
      </c>
      <c r="CQ15" s="446">
        <f t="shared" si="20"/>
        <v>0</v>
      </c>
      <c r="CR15" s="446">
        <f t="shared" si="20"/>
        <v>0</v>
      </c>
      <c r="CS15" s="446">
        <f t="shared" si="20"/>
        <v>0</v>
      </c>
      <c r="CT15" s="446">
        <f t="shared" si="20"/>
        <v>0</v>
      </c>
      <c r="CU15" s="446">
        <f t="shared" si="20"/>
        <v>0</v>
      </c>
      <c r="CV15" s="446">
        <f t="shared" si="20"/>
        <v>0</v>
      </c>
      <c r="CW15" s="446">
        <f t="shared" si="20"/>
        <v>0</v>
      </c>
      <c r="CX15" s="446">
        <f t="shared" si="20"/>
        <v>0</v>
      </c>
      <c r="CY15" s="446">
        <f t="shared" si="20"/>
        <v>0</v>
      </c>
      <c r="CZ15" s="446">
        <f t="shared" si="20"/>
        <v>0</v>
      </c>
      <c r="DA15" s="446">
        <f t="shared" si="20"/>
        <v>0</v>
      </c>
      <c r="DB15" s="446">
        <f t="shared" si="20"/>
        <v>0</v>
      </c>
      <c r="DC15" s="446">
        <f t="shared" si="20"/>
        <v>0</v>
      </c>
      <c r="DD15" s="446">
        <f t="shared" si="20"/>
        <v>0</v>
      </c>
      <c r="DE15" s="446">
        <f t="shared" si="20"/>
        <v>0</v>
      </c>
      <c r="DF15" s="446">
        <f t="shared" si="20"/>
        <v>0</v>
      </c>
      <c r="DG15" s="446">
        <f t="shared" si="20"/>
        <v>0</v>
      </c>
      <c r="DH15" s="446">
        <f t="shared" si="20"/>
        <v>0</v>
      </c>
      <c r="DI15" s="446">
        <f t="shared" si="20"/>
        <v>0</v>
      </c>
      <c r="DJ15" s="446">
        <f t="shared" si="20"/>
        <v>0</v>
      </c>
      <c r="DK15" s="446">
        <f t="shared" si="20"/>
        <v>0</v>
      </c>
      <c r="DL15" s="446">
        <f t="shared" si="20"/>
        <v>0</v>
      </c>
      <c r="DM15" s="446">
        <f t="shared" si="20"/>
        <v>0</v>
      </c>
      <c r="DN15" s="446">
        <f t="shared" si="20"/>
        <v>0</v>
      </c>
      <c r="DO15" s="446">
        <f t="shared" si="20"/>
        <v>0</v>
      </c>
      <c r="DP15" s="446">
        <f t="shared" si="20"/>
        <v>0</v>
      </c>
      <c r="DQ15" s="446">
        <f t="shared" si="20"/>
        <v>0</v>
      </c>
      <c r="DR15" s="446">
        <f t="shared" si="20"/>
        <v>0</v>
      </c>
      <c r="DS15" s="446">
        <f t="shared" si="20"/>
        <v>0</v>
      </c>
      <c r="DT15" s="446">
        <f t="shared" si="20"/>
        <v>0</v>
      </c>
      <c r="DU15" s="446">
        <f t="shared" si="20"/>
        <v>0</v>
      </c>
      <c r="DV15" s="446">
        <f t="shared" si="20"/>
        <v>0</v>
      </c>
      <c r="DW15" s="446">
        <f t="shared" si="20"/>
        <v>0</v>
      </c>
      <c r="DX15" s="446">
        <f t="shared" si="20"/>
        <v>0</v>
      </c>
      <c r="DY15" s="446">
        <f t="shared" si="20"/>
        <v>0</v>
      </c>
      <c r="DZ15" s="446">
        <f t="shared" si="20"/>
        <v>0</v>
      </c>
      <c r="EA15" s="446">
        <f t="shared" si="20"/>
        <v>0</v>
      </c>
      <c r="EB15" s="446">
        <f t="shared" si="20"/>
        <v>0</v>
      </c>
      <c r="EC15" s="446">
        <f t="shared" si="20"/>
        <v>0</v>
      </c>
      <c r="ED15" s="446">
        <f t="shared" si="20"/>
        <v>0</v>
      </c>
      <c r="EE15" s="446">
        <f t="shared" si="20"/>
        <v>0</v>
      </c>
      <c r="EF15" s="446">
        <f t="shared" si="20"/>
        <v>0</v>
      </c>
      <c r="EG15" s="446">
        <f t="shared" si="20"/>
        <v>0</v>
      </c>
      <c r="EH15" s="446">
        <f t="shared" si="20"/>
        <v>0</v>
      </c>
      <c r="EI15" s="446">
        <f t="shared" si="20"/>
        <v>0</v>
      </c>
      <c r="EJ15" s="446">
        <f t="shared" si="20"/>
        <v>0</v>
      </c>
      <c r="EK15" s="446">
        <f t="shared" si="20"/>
        <v>0</v>
      </c>
      <c r="EL15" s="446">
        <f t="shared" si="21"/>
        <v>0</v>
      </c>
      <c r="EM15" s="446">
        <f t="shared" si="21"/>
        <v>0</v>
      </c>
      <c r="EN15" s="446">
        <f t="shared" si="21"/>
        <v>0</v>
      </c>
      <c r="EO15" s="446">
        <f t="shared" si="21"/>
        <v>0</v>
      </c>
      <c r="EP15" s="446">
        <f t="shared" si="21"/>
        <v>0</v>
      </c>
      <c r="EQ15" s="446">
        <f t="shared" si="21"/>
        <v>0</v>
      </c>
      <c r="ER15" s="446">
        <f t="shared" si="21"/>
        <v>0</v>
      </c>
      <c r="ES15" s="446">
        <f t="shared" si="21"/>
        <v>0</v>
      </c>
      <c r="ET15" s="446">
        <f t="shared" si="21"/>
        <v>0</v>
      </c>
      <c r="EU15" s="446">
        <f t="shared" si="21"/>
        <v>0</v>
      </c>
      <c r="EV15" s="446">
        <f t="shared" si="21"/>
        <v>0</v>
      </c>
      <c r="EW15" s="446">
        <f t="shared" si="21"/>
        <v>0</v>
      </c>
      <c r="EX15" s="446">
        <f t="shared" si="21"/>
        <v>0</v>
      </c>
      <c r="EY15" s="446">
        <f t="shared" si="21"/>
        <v>0</v>
      </c>
      <c r="EZ15" s="446">
        <f t="shared" si="21"/>
        <v>0</v>
      </c>
      <c r="FA15" s="446">
        <f t="shared" si="21"/>
        <v>0</v>
      </c>
      <c r="FB15" s="446">
        <f t="shared" si="21"/>
        <v>0</v>
      </c>
      <c r="FC15" s="446">
        <f t="shared" si="21"/>
        <v>0</v>
      </c>
      <c r="FD15" s="446">
        <f t="shared" si="21"/>
        <v>0</v>
      </c>
      <c r="FE15" s="446">
        <f t="shared" si="21"/>
        <v>0</v>
      </c>
      <c r="FF15" s="446">
        <f t="shared" si="21"/>
        <v>0</v>
      </c>
      <c r="FG15" s="446">
        <f t="shared" si="21"/>
        <v>0</v>
      </c>
      <c r="FH15" s="446">
        <f t="shared" si="21"/>
        <v>0</v>
      </c>
      <c r="FI15" s="446">
        <f t="shared" si="21"/>
        <v>0</v>
      </c>
      <c r="FJ15" s="446">
        <f t="shared" si="21"/>
        <v>0</v>
      </c>
      <c r="FK15" s="446">
        <f t="shared" si="21"/>
        <v>0</v>
      </c>
      <c r="FL15" s="446">
        <f t="shared" si="21"/>
        <v>0</v>
      </c>
      <c r="FM15" s="446">
        <f>SUM(טבלה8[[#This Row],[1]:[156]])</f>
        <v>0</v>
      </c>
      <c r="FN15" s="447">
        <f>טבלה8[[#This Row],[סה"כ]]</f>
        <v>0</v>
      </c>
      <c r="FO15" s="554" t="str">
        <f>טבלה8[[#This Row],[מוצר]]</f>
        <v>---</v>
      </c>
      <c r="FP15" s="554"/>
      <c r="FR15" s="170" t="s">
        <v>678</v>
      </c>
    </row>
    <row r="16" spans="1:174" ht="16.5" customHeight="1">
      <c r="A16" s="440" t="s">
        <v>679</v>
      </c>
      <c r="B16" s="440">
        <v>9</v>
      </c>
      <c r="C16" s="440">
        <v>8504</v>
      </c>
      <c r="D16" s="427" t="e">
        <f>SUMIF([2]!טבלה6[קוד מוצר],C16,[2]!טבלה6[מחיר לקוח])</f>
        <v>#REF!</v>
      </c>
      <c r="E16" s="440">
        <v>1</v>
      </c>
      <c r="F16" s="427" t="e">
        <f t="shared" si="0"/>
        <v>#REF!</v>
      </c>
      <c r="G16" s="441">
        <v>0.17</v>
      </c>
      <c r="H16" s="442" t="e">
        <f t="shared" si="1"/>
        <v>#REF!</v>
      </c>
      <c r="I16" s="443" t="e">
        <f t="shared" si="2"/>
        <v>#REF!</v>
      </c>
      <c r="J16" s="440" t="s">
        <v>804</v>
      </c>
      <c r="K16" s="444" t="s">
        <v>169</v>
      </c>
      <c r="L16" s="472">
        <v>1.5</v>
      </c>
      <c r="M16" s="446">
        <f>CEILING($L16*M$4,10)</f>
        <v>0</v>
      </c>
      <c r="N16" s="446">
        <f>CEILING($L16*N$4,10)</f>
        <v>0</v>
      </c>
      <c r="O16" s="446">
        <f>CEILING($L16*O$4,10)</f>
        <v>0</v>
      </c>
      <c r="P16" s="446">
        <f>CEILING($L16*P$4,10)</f>
        <v>0</v>
      </c>
      <c r="Q16" s="446">
        <f>CEILING($L16*Q$4,10)</f>
        <v>0</v>
      </c>
      <c r="R16" s="446">
        <f t="shared" ref="R16:BY16" si="22">CEILING($L16*R$4,10)</f>
        <v>0</v>
      </c>
      <c r="S16" s="446">
        <f t="shared" si="22"/>
        <v>0</v>
      </c>
      <c r="T16" s="446">
        <f t="shared" si="22"/>
        <v>0</v>
      </c>
      <c r="U16" s="446">
        <f t="shared" si="22"/>
        <v>0</v>
      </c>
      <c r="V16" s="446">
        <f t="shared" si="22"/>
        <v>0</v>
      </c>
      <c r="W16" s="446">
        <f t="shared" si="22"/>
        <v>0</v>
      </c>
      <c r="X16" s="446">
        <f t="shared" si="22"/>
        <v>0</v>
      </c>
      <c r="Y16" s="446">
        <f t="shared" si="22"/>
        <v>0</v>
      </c>
      <c r="Z16" s="446">
        <f t="shared" si="22"/>
        <v>0</v>
      </c>
      <c r="AA16" s="446">
        <f t="shared" si="22"/>
        <v>0</v>
      </c>
      <c r="AB16" s="446">
        <f t="shared" si="22"/>
        <v>0</v>
      </c>
      <c r="AC16" s="446">
        <f t="shared" si="22"/>
        <v>0</v>
      </c>
      <c r="AD16" s="446">
        <f t="shared" si="22"/>
        <v>0</v>
      </c>
      <c r="AE16" s="446">
        <f t="shared" si="22"/>
        <v>0</v>
      </c>
      <c r="AF16" s="446">
        <f t="shared" si="22"/>
        <v>0</v>
      </c>
      <c r="AG16" s="446">
        <f t="shared" si="22"/>
        <v>0</v>
      </c>
      <c r="AH16" s="446">
        <f t="shared" si="22"/>
        <v>0</v>
      </c>
      <c r="AI16" s="446">
        <f t="shared" si="22"/>
        <v>0</v>
      </c>
      <c r="AJ16" s="446">
        <f t="shared" si="22"/>
        <v>0</v>
      </c>
      <c r="AK16" s="446">
        <f t="shared" si="22"/>
        <v>0</v>
      </c>
      <c r="AL16" s="446">
        <f t="shared" si="22"/>
        <v>0</v>
      </c>
      <c r="AM16" s="446">
        <f t="shared" si="22"/>
        <v>0</v>
      </c>
      <c r="AN16" s="446">
        <f t="shared" si="22"/>
        <v>0</v>
      </c>
      <c r="AO16" s="446">
        <f t="shared" si="22"/>
        <v>0</v>
      </c>
      <c r="AP16" s="446">
        <f t="shared" si="22"/>
        <v>0</v>
      </c>
      <c r="AQ16" s="446">
        <f t="shared" si="22"/>
        <v>0</v>
      </c>
      <c r="AR16" s="446">
        <f t="shared" si="22"/>
        <v>0</v>
      </c>
      <c r="AS16" s="446">
        <f t="shared" si="22"/>
        <v>0</v>
      </c>
      <c r="AT16" s="446">
        <f t="shared" si="22"/>
        <v>0</v>
      </c>
      <c r="AU16" s="446">
        <f t="shared" si="22"/>
        <v>0</v>
      </c>
      <c r="AV16" s="446">
        <f t="shared" si="22"/>
        <v>0</v>
      </c>
      <c r="AW16" s="446">
        <f t="shared" si="22"/>
        <v>0</v>
      </c>
      <c r="AX16" s="446">
        <f t="shared" si="22"/>
        <v>0</v>
      </c>
      <c r="AY16" s="446">
        <f t="shared" si="22"/>
        <v>0</v>
      </c>
      <c r="AZ16" s="446">
        <f t="shared" ref="AZ16:BA16" si="23">CEILING($L16*AZ$4,10)</f>
        <v>0</v>
      </c>
      <c r="BA16" s="446">
        <f t="shared" si="23"/>
        <v>0</v>
      </c>
      <c r="BB16" s="446">
        <f t="shared" ref="BB16:BH16" si="24">CEILING($L16*BB$4,10)</f>
        <v>0</v>
      </c>
      <c r="BC16" s="446">
        <f t="shared" si="24"/>
        <v>0</v>
      </c>
      <c r="BD16" s="446">
        <f t="shared" si="24"/>
        <v>0</v>
      </c>
      <c r="BE16" s="446">
        <f t="shared" si="24"/>
        <v>0</v>
      </c>
      <c r="BF16" s="446">
        <f t="shared" si="24"/>
        <v>0</v>
      </c>
      <c r="BG16" s="446">
        <f t="shared" si="24"/>
        <v>0</v>
      </c>
      <c r="BH16" s="446">
        <f t="shared" si="24"/>
        <v>0</v>
      </c>
      <c r="BI16" s="638">
        <f t="shared" si="22"/>
        <v>0</v>
      </c>
      <c r="BJ16" s="446">
        <f t="shared" si="22"/>
        <v>0</v>
      </c>
      <c r="BK16" s="446">
        <f t="shared" si="22"/>
        <v>0</v>
      </c>
      <c r="BL16" s="446">
        <f t="shared" si="22"/>
        <v>0</v>
      </c>
      <c r="BM16" s="446">
        <f t="shared" si="22"/>
        <v>0</v>
      </c>
      <c r="BN16" s="446">
        <f t="shared" si="22"/>
        <v>0</v>
      </c>
      <c r="BO16" s="446">
        <f t="shared" si="22"/>
        <v>0</v>
      </c>
      <c r="BP16" s="446">
        <f t="shared" si="22"/>
        <v>0</v>
      </c>
      <c r="BQ16" s="446">
        <f t="shared" si="22"/>
        <v>0</v>
      </c>
      <c r="BR16" s="446">
        <f t="shared" si="22"/>
        <v>0</v>
      </c>
      <c r="BS16" s="446">
        <f t="shared" si="22"/>
        <v>0</v>
      </c>
      <c r="BT16" s="446">
        <f t="shared" si="22"/>
        <v>0</v>
      </c>
      <c r="BU16" s="446">
        <f t="shared" si="22"/>
        <v>0</v>
      </c>
      <c r="BV16" s="446">
        <f t="shared" si="22"/>
        <v>0</v>
      </c>
      <c r="BW16" s="446">
        <f t="shared" si="22"/>
        <v>0</v>
      </c>
      <c r="BX16" s="446">
        <f t="shared" si="22"/>
        <v>0</v>
      </c>
      <c r="BY16" s="446">
        <f t="shared" si="22"/>
        <v>0</v>
      </c>
      <c r="BZ16" s="446">
        <f t="shared" ref="BZ16:EK16" si="25">CEILING($L16*BZ$4,10)</f>
        <v>0</v>
      </c>
      <c r="CA16" s="446">
        <f t="shared" si="25"/>
        <v>0</v>
      </c>
      <c r="CB16" s="446">
        <f t="shared" si="25"/>
        <v>0</v>
      </c>
      <c r="CC16" s="446">
        <f t="shared" si="25"/>
        <v>0</v>
      </c>
      <c r="CD16" s="446">
        <f t="shared" si="25"/>
        <v>0</v>
      </c>
      <c r="CE16" s="446">
        <f t="shared" si="25"/>
        <v>0</v>
      </c>
      <c r="CF16" s="446">
        <f t="shared" si="25"/>
        <v>0</v>
      </c>
      <c r="CG16" s="446">
        <f t="shared" si="25"/>
        <v>0</v>
      </c>
      <c r="CH16" s="446">
        <f t="shared" si="25"/>
        <v>0</v>
      </c>
      <c r="CI16" s="446">
        <f t="shared" si="25"/>
        <v>0</v>
      </c>
      <c r="CJ16" s="446">
        <f t="shared" si="25"/>
        <v>0</v>
      </c>
      <c r="CK16" s="446">
        <f t="shared" si="25"/>
        <v>0</v>
      </c>
      <c r="CL16" s="446">
        <f t="shared" si="25"/>
        <v>0</v>
      </c>
      <c r="CM16" s="446">
        <f t="shared" si="25"/>
        <v>0</v>
      </c>
      <c r="CN16" s="446">
        <f t="shared" si="25"/>
        <v>0</v>
      </c>
      <c r="CO16" s="446">
        <f t="shared" si="25"/>
        <v>0</v>
      </c>
      <c r="CP16" s="446">
        <f t="shared" si="25"/>
        <v>0</v>
      </c>
      <c r="CQ16" s="446">
        <f t="shared" si="25"/>
        <v>0</v>
      </c>
      <c r="CR16" s="446">
        <f t="shared" si="25"/>
        <v>0</v>
      </c>
      <c r="CS16" s="446">
        <f t="shared" si="25"/>
        <v>0</v>
      </c>
      <c r="CT16" s="446">
        <f t="shared" si="25"/>
        <v>0</v>
      </c>
      <c r="CU16" s="446">
        <f t="shared" si="25"/>
        <v>0</v>
      </c>
      <c r="CV16" s="446">
        <f t="shared" si="25"/>
        <v>0</v>
      </c>
      <c r="CW16" s="446">
        <f t="shared" si="25"/>
        <v>0</v>
      </c>
      <c r="CX16" s="446">
        <f t="shared" si="25"/>
        <v>0</v>
      </c>
      <c r="CY16" s="446">
        <f t="shared" si="25"/>
        <v>0</v>
      </c>
      <c r="CZ16" s="446">
        <f t="shared" si="25"/>
        <v>0</v>
      </c>
      <c r="DA16" s="446">
        <f t="shared" si="25"/>
        <v>0</v>
      </c>
      <c r="DB16" s="446">
        <f t="shared" si="25"/>
        <v>0</v>
      </c>
      <c r="DC16" s="446">
        <f t="shared" si="25"/>
        <v>0</v>
      </c>
      <c r="DD16" s="446">
        <f t="shared" si="25"/>
        <v>0</v>
      </c>
      <c r="DE16" s="446">
        <f t="shared" si="25"/>
        <v>0</v>
      </c>
      <c r="DF16" s="446">
        <f t="shared" si="25"/>
        <v>0</v>
      </c>
      <c r="DG16" s="446">
        <f t="shared" si="25"/>
        <v>0</v>
      </c>
      <c r="DH16" s="446">
        <f t="shared" si="25"/>
        <v>0</v>
      </c>
      <c r="DI16" s="446">
        <f t="shared" si="25"/>
        <v>0</v>
      </c>
      <c r="DJ16" s="446">
        <f t="shared" si="25"/>
        <v>0</v>
      </c>
      <c r="DK16" s="446">
        <f t="shared" si="25"/>
        <v>0</v>
      </c>
      <c r="DL16" s="446">
        <f t="shared" si="25"/>
        <v>0</v>
      </c>
      <c r="DM16" s="446">
        <f t="shared" si="25"/>
        <v>0</v>
      </c>
      <c r="DN16" s="446">
        <f t="shared" si="25"/>
        <v>0</v>
      </c>
      <c r="DO16" s="446">
        <f t="shared" si="25"/>
        <v>0</v>
      </c>
      <c r="DP16" s="446">
        <f t="shared" si="25"/>
        <v>0</v>
      </c>
      <c r="DQ16" s="446">
        <f t="shared" si="25"/>
        <v>0</v>
      </c>
      <c r="DR16" s="446">
        <f t="shared" si="25"/>
        <v>0</v>
      </c>
      <c r="DS16" s="446">
        <f t="shared" si="25"/>
        <v>0</v>
      </c>
      <c r="DT16" s="446">
        <f t="shared" si="25"/>
        <v>0</v>
      </c>
      <c r="DU16" s="446">
        <f t="shared" si="25"/>
        <v>0</v>
      </c>
      <c r="DV16" s="446">
        <f t="shared" si="25"/>
        <v>0</v>
      </c>
      <c r="DW16" s="446">
        <f t="shared" si="25"/>
        <v>0</v>
      </c>
      <c r="DX16" s="446">
        <f t="shared" si="25"/>
        <v>0</v>
      </c>
      <c r="DY16" s="446">
        <f t="shared" si="25"/>
        <v>0</v>
      </c>
      <c r="DZ16" s="446">
        <f t="shared" si="25"/>
        <v>0</v>
      </c>
      <c r="EA16" s="446">
        <f t="shared" si="25"/>
        <v>0</v>
      </c>
      <c r="EB16" s="446">
        <f t="shared" si="25"/>
        <v>0</v>
      </c>
      <c r="EC16" s="446">
        <f t="shared" si="25"/>
        <v>0</v>
      </c>
      <c r="ED16" s="446">
        <f t="shared" si="25"/>
        <v>0</v>
      </c>
      <c r="EE16" s="446">
        <f t="shared" si="25"/>
        <v>0</v>
      </c>
      <c r="EF16" s="446">
        <f t="shared" si="25"/>
        <v>0</v>
      </c>
      <c r="EG16" s="446">
        <f t="shared" si="25"/>
        <v>0</v>
      </c>
      <c r="EH16" s="446">
        <f t="shared" si="25"/>
        <v>0</v>
      </c>
      <c r="EI16" s="446">
        <f t="shared" si="25"/>
        <v>0</v>
      </c>
      <c r="EJ16" s="446">
        <f t="shared" si="25"/>
        <v>0</v>
      </c>
      <c r="EK16" s="446">
        <f t="shared" si="25"/>
        <v>0</v>
      </c>
      <c r="EL16" s="446">
        <f t="shared" ref="EL16:FL16" si="26">CEILING($L16*EL$4,10)</f>
        <v>0</v>
      </c>
      <c r="EM16" s="446">
        <f t="shared" si="26"/>
        <v>0</v>
      </c>
      <c r="EN16" s="446">
        <f t="shared" si="26"/>
        <v>0</v>
      </c>
      <c r="EO16" s="446">
        <f t="shared" si="26"/>
        <v>0</v>
      </c>
      <c r="EP16" s="446">
        <f t="shared" si="26"/>
        <v>0</v>
      </c>
      <c r="EQ16" s="446">
        <f t="shared" si="26"/>
        <v>0</v>
      </c>
      <c r="ER16" s="446">
        <f t="shared" si="26"/>
        <v>0</v>
      </c>
      <c r="ES16" s="446">
        <f t="shared" si="26"/>
        <v>0</v>
      </c>
      <c r="ET16" s="446">
        <f t="shared" si="26"/>
        <v>0</v>
      </c>
      <c r="EU16" s="446">
        <f t="shared" si="26"/>
        <v>0</v>
      </c>
      <c r="EV16" s="446">
        <f t="shared" si="26"/>
        <v>0</v>
      </c>
      <c r="EW16" s="446">
        <f t="shared" si="26"/>
        <v>0</v>
      </c>
      <c r="EX16" s="446">
        <f t="shared" si="26"/>
        <v>0</v>
      </c>
      <c r="EY16" s="446">
        <f t="shared" si="26"/>
        <v>0</v>
      </c>
      <c r="EZ16" s="446">
        <f t="shared" si="26"/>
        <v>0</v>
      </c>
      <c r="FA16" s="446">
        <f t="shared" si="26"/>
        <v>0</v>
      </c>
      <c r="FB16" s="446">
        <f t="shared" si="26"/>
        <v>0</v>
      </c>
      <c r="FC16" s="446">
        <f t="shared" si="26"/>
        <v>0</v>
      </c>
      <c r="FD16" s="446">
        <f t="shared" si="26"/>
        <v>0</v>
      </c>
      <c r="FE16" s="446">
        <f t="shared" si="26"/>
        <v>0</v>
      </c>
      <c r="FF16" s="446">
        <f t="shared" si="26"/>
        <v>0</v>
      </c>
      <c r="FG16" s="446">
        <f t="shared" si="26"/>
        <v>0</v>
      </c>
      <c r="FH16" s="446">
        <f t="shared" si="26"/>
        <v>0</v>
      </c>
      <c r="FI16" s="446">
        <f t="shared" si="26"/>
        <v>0</v>
      </c>
      <c r="FJ16" s="446">
        <f t="shared" si="26"/>
        <v>0</v>
      </c>
      <c r="FK16" s="446">
        <f t="shared" si="26"/>
        <v>0</v>
      </c>
      <c r="FL16" s="446">
        <f t="shared" si="26"/>
        <v>0</v>
      </c>
      <c r="FM16" s="446">
        <f>SUM(טבלה8[[#This Row],[1]:[156]])</f>
        <v>0</v>
      </c>
      <c r="FN16" s="447">
        <f>טבלה8[[#This Row],[סה"כ]]/10</f>
        <v>0</v>
      </c>
      <c r="FO16" s="554" t="str">
        <f>טבלה8[[#This Row],[מוצר]]</f>
        <v>לחמניה</v>
      </c>
      <c r="FP16" s="554"/>
      <c r="FR16" s="448" t="s">
        <v>77</v>
      </c>
    </row>
    <row r="17" spans="1:174" s="219" customFormat="1" ht="16.5" customHeight="1">
      <c r="A17" s="440" t="s">
        <v>679</v>
      </c>
      <c r="B17" s="440">
        <v>10</v>
      </c>
      <c r="C17" s="440">
        <v>607</v>
      </c>
      <c r="D17" s="427" t="e">
        <f>SUMIF([2]!טבלה6[קוד מוצר],C17,[2]!טבלה6[מחיר לקוח])</f>
        <v>#REF!</v>
      </c>
      <c r="E17" s="440">
        <v>1</v>
      </c>
      <c r="F17" s="427" t="e">
        <f>D17/E17/8</f>
        <v>#REF!</v>
      </c>
      <c r="G17" s="441">
        <v>0</v>
      </c>
      <c r="H17" s="442" t="e">
        <f t="shared" si="1"/>
        <v>#REF!</v>
      </c>
      <c r="I17" s="443" t="e">
        <f t="shared" si="2"/>
        <v>#REF!</v>
      </c>
      <c r="J17" s="440" t="s">
        <v>680</v>
      </c>
      <c r="K17" s="444" t="s">
        <v>681</v>
      </c>
      <c r="L17" s="445">
        <f>1/4</f>
        <v>0.25</v>
      </c>
      <c r="M17" s="446">
        <f t="shared" ref="M17:Q18" si="27">ROUNDUP($L17*M$4,0)</f>
        <v>0</v>
      </c>
      <c r="N17" s="446">
        <f t="shared" si="27"/>
        <v>0</v>
      </c>
      <c r="O17" s="446">
        <f t="shared" si="27"/>
        <v>0</v>
      </c>
      <c r="P17" s="446">
        <f t="shared" si="27"/>
        <v>0</v>
      </c>
      <c r="Q17" s="446">
        <f t="shared" si="27"/>
        <v>0</v>
      </c>
      <c r="R17" s="446">
        <f t="shared" ref="R17:BY18" si="28">ROUNDUP($L17*R$4,0)</f>
        <v>0</v>
      </c>
      <c r="S17" s="446">
        <f t="shared" si="28"/>
        <v>0</v>
      </c>
      <c r="T17" s="446">
        <f t="shared" si="28"/>
        <v>0</v>
      </c>
      <c r="U17" s="446">
        <f t="shared" si="28"/>
        <v>0</v>
      </c>
      <c r="V17" s="446">
        <f t="shared" si="28"/>
        <v>0</v>
      </c>
      <c r="W17" s="446">
        <f t="shared" si="28"/>
        <v>0</v>
      </c>
      <c r="X17" s="446">
        <f t="shared" si="28"/>
        <v>0</v>
      </c>
      <c r="Y17" s="446">
        <f t="shared" si="28"/>
        <v>0</v>
      </c>
      <c r="Z17" s="446">
        <f t="shared" si="28"/>
        <v>0</v>
      </c>
      <c r="AA17" s="446">
        <f t="shared" si="28"/>
        <v>0</v>
      </c>
      <c r="AB17" s="446">
        <f t="shared" si="28"/>
        <v>0</v>
      </c>
      <c r="AC17" s="446">
        <f t="shared" si="28"/>
        <v>0</v>
      </c>
      <c r="AD17" s="446">
        <f t="shared" si="28"/>
        <v>0</v>
      </c>
      <c r="AE17" s="446">
        <f t="shared" si="28"/>
        <v>0</v>
      </c>
      <c r="AF17" s="446">
        <f t="shared" si="28"/>
        <v>0</v>
      </c>
      <c r="AG17" s="446">
        <f t="shared" si="28"/>
        <v>0</v>
      </c>
      <c r="AH17" s="446">
        <f t="shared" si="28"/>
        <v>0</v>
      </c>
      <c r="AI17" s="446">
        <f t="shared" si="28"/>
        <v>0</v>
      </c>
      <c r="AJ17" s="446">
        <f t="shared" si="28"/>
        <v>0</v>
      </c>
      <c r="AK17" s="446">
        <f t="shared" si="28"/>
        <v>0</v>
      </c>
      <c r="AL17" s="446">
        <f t="shared" si="28"/>
        <v>0</v>
      </c>
      <c r="AM17" s="446">
        <f t="shared" si="28"/>
        <v>0</v>
      </c>
      <c r="AN17" s="446">
        <f t="shared" si="28"/>
        <v>0</v>
      </c>
      <c r="AO17" s="446">
        <f t="shared" si="28"/>
        <v>0</v>
      </c>
      <c r="AP17" s="446">
        <f t="shared" si="28"/>
        <v>0</v>
      </c>
      <c r="AQ17" s="446">
        <f t="shared" si="28"/>
        <v>0</v>
      </c>
      <c r="AR17" s="446">
        <f t="shared" si="28"/>
        <v>0</v>
      </c>
      <c r="AS17" s="446">
        <f t="shared" si="28"/>
        <v>0</v>
      </c>
      <c r="AT17" s="446">
        <f t="shared" si="28"/>
        <v>0</v>
      </c>
      <c r="AU17" s="446">
        <f t="shared" si="28"/>
        <v>0</v>
      </c>
      <c r="AV17" s="446">
        <f t="shared" si="28"/>
        <v>0</v>
      </c>
      <c r="AW17" s="446">
        <f t="shared" si="28"/>
        <v>0</v>
      </c>
      <c r="AX17" s="446">
        <f t="shared" si="28"/>
        <v>0</v>
      </c>
      <c r="AY17" s="446">
        <f t="shared" si="28"/>
        <v>0</v>
      </c>
      <c r="AZ17" s="446">
        <f t="shared" ref="AZ17:BA18" si="29">ROUNDUP($L17*AZ$4,0)</f>
        <v>0</v>
      </c>
      <c r="BA17" s="446">
        <f t="shared" si="29"/>
        <v>0</v>
      </c>
      <c r="BB17" s="446">
        <f t="shared" ref="BB17:BH18" si="30">ROUNDUP($L17*BB$4,0)</f>
        <v>0</v>
      </c>
      <c r="BC17" s="446">
        <f t="shared" si="30"/>
        <v>0</v>
      </c>
      <c r="BD17" s="446">
        <f t="shared" si="30"/>
        <v>0</v>
      </c>
      <c r="BE17" s="446">
        <f t="shared" si="30"/>
        <v>0</v>
      </c>
      <c r="BF17" s="446">
        <f t="shared" si="30"/>
        <v>0</v>
      </c>
      <c r="BG17" s="446">
        <f t="shared" si="30"/>
        <v>0</v>
      </c>
      <c r="BH17" s="446">
        <f t="shared" si="30"/>
        <v>0</v>
      </c>
      <c r="BI17" s="638">
        <f t="shared" si="28"/>
        <v>0</v>
      </c>
      <c r="BJ17" s="446">
        <f t="shared" si="28"/>
        <v>0</v>
      </c>
      <c r="BK17" s="446">
        <f t="shared" si="28"/>
        <v>0</v>
      </c>
      <c r="BL17" s="446">
        <f t="shared" si="28"/>
        <v>0</v>
      </c>
      <c r="BM17" s="446">
        <f t="shared" si="28"/>
        <v>0</v>
      </c>
      <c r="BN17" s="446">
        <f t="shared" si="28"/>
        <v>0</v>
      </c>
      <c r="BO17" s="446">
        <f t="shared" si="28"/>
        <v>0</v>
      </c>
      <c r="BP17" s="446">
        <f t="shared" si="28"/>
        <v>0</v>
      </c>
      <c r="BQ17" s="446">
        <f t="shared" si="28"/>
        <v>0</v>
      </c>
      <c r="BR17" s="446">
        <f t="shared" si="28"/>
        <v>0</v>
      </c>
      <c r="BS17" s="446">
        <f t="shared" si="28"/>
        <v>0</v>
      </c>
      <c r="BT17" s="446">
        <f t="shared" si="28"/>
        <v>0</v>
      </c>
      <c r="BU17" s="446">
        <f t="shared" si="28"/>
        <v>0</v>
      </c>
      <c r="BV17" s="446">
        <f t="shared" si="28"/>
        <v>0</v>
      </c>
      <c r="BW17" s="446">
        <f t="shared" si="28"/>
        <v>0</v>
      </c>
      <c r="BX17" s="446">
        <f t="shared" si="28"/>
        <v>0</v>
      </c>
      <c r="BY17" s="446">
        <f t="shared" si="28"/>
        <v>0</v>
      </c>
      <c r="BZ17" s="446">
        <f t="shared" ref="BZ17:EK18" si="31">ROUNDUP($L17*BZ$4,0)</f>
        <v>0</v>
      </c>
      <c r="CA17" s="446">
        <f t="shared" si="31"/>
        <v>0</v>
      </c>
      <c r="CB17" s="446">
        <f t="shared" si="31"/>
        <v>0</v>
      </c>
      <c r="CC17" s="446">
        <f t="shared" si="31"/>
        <v>0</v>
      </c>
      <c r="CD17" s="446">
        <f t="shared" si="31"/>
        <v>0</v>
      </c>
      <c r="CE17" s="446">
        <f t="shared" si="31"/>
        <v>0</v>
      </c>
      <c r="CF17" s="446">
        <f t="shared" si="31"/>
        <v>0</v>
      </c>
      <c r="CG17" s="446">
        <f t="shared" si="31"/>
        <v>0</v>
      </c>
      <c r="CH17" s="446">
        <f t="shared" si="31"/>
        <v>0</v>
      </c>
      <c r="CI17" s="446">
        <f t="shared" si="31"/>
        <v>0</v>
      </c>
      <c r="CJ17" s="446">
        <f t="shared" si="31"/>
        <v>0</v>
      </c>
      <c r="CK17" s="446">
        <f t="shared" si="31"/>
        <v>0</v>
      </c>
      <c r="CL17" s="446">
        <f t="shared" si="31"/>
        <v>0</v>
      </c>
      <c r="CM17" s="446">
        <f t="shared" si="31"/>
        <v>0</v>
      </c>
      <c r="CN17" s="446">
        <f t="shared" si="31"/>
        <v>0</v>
      </c>
      <c r="CO17" s="446">
        <f t="shared" si="31"/>
        <v>0</v>
      </c>
      <c r="CP17" s="446">
        <f t="shared" si="31"/>
        <v>0</v>
      </c>
      <c r="CQ17" s="446">
        <f t="shared" si="31"/>
        <v>0</v>
      </c>
      <c r="CR17" s="446">
        <f t="shared" si="31"/>
        <v>0</v>
      </c>
      <c r="CS17" s="446">
        <f t="shared" si="31"/>
        <v>0</v>
      </c>
      <c r="CT17" s="446">
        <f t="shared" si="31"/>
        <v>0</v>
      </c>
      <c r="CU17" s="446">
        <f t="shared" si="31"/>
        <v>0</v>
      </c>
      <c r="CV17" s="446">
        <f t="shared" si="31"/>
        <v>0</v>
      </c>
      <c r="CW17" s="446">
        <f t="shared" si="31"/>
        <v>0</v>
      </c>
      <c r="CX17" s="446">
        <f t="shared" si="31"/>
        <v>0</v>
      </c>
      <c r="CY17" s="446">
        <f t="shared" si="31"/>
        <v>0</v>
      </c>
      <c r="CZ17" s="446">
        <f t="shared" si="31"/>
        <v>0</v>
      </c>
      <c r="DA17" s="446">
        <f t="shared" si="31"/>
        <v>0</v>
      </c>
      <c r="DB17" s="446">
        <f t="shared" si="31"/>
        <v>0</v>
      </c>
      <c r="DC17" s="446">
        <f t="shared" si="31"/>
        <v>0</v>
      </c>
      <c r="DD17" s="446">
        <f t="shared" si="31"/>
        <v>0</v>
      </c>
      <c r="DE17" s="446">
        <f t="shared" si="31"/>
        <v>0</v>
      </c>
      <c r="DF17" s="446">
        <f t="shared" si="31"/>
        <v>0</v>
      </c>
      <c r="DG17" s="446">
        <f t="shared" si="31"/>
        <v>0</v>
      </c>
      <c r="DH17" s="446">
        <f t="shared" si="31"/>
        <v>0</v>
      </c>
      <c r="DI17" s="446">
        <f t="shared" si="31"/>
        <v>0</v>
      </c>
      <c r="DJ17" s="446">
        <f t="shared" si="31"/>
        <v>0</v>
      </c>
      <c r="DK17" s="446">
        <f t="shared" si="31"/>
        <v>0</v>
      </c>
      <c r="DL17" s="446">
        <f t="shared" si="31"/>
        <v>0</v>
      </c>
      <c r="DM17" s="446">
        <f t="shared" si="31"/>
        <v>0</v>
      </c>
      <c r="DN17" s="446">
        <f t="shared" si="31"/>
        <v>0</v>
      </c>
      <c r="DO17" s="446">
        <f t="shared" si="31"/>
        <v>0</v>
      </c>
      <c r="DP17" s="446">
        <f t="shared" si="31"/>
        <v>0</v>
      </c>
      <c r="DQ17" s="446">
        <f t="shared" si="31"/>
        <v>0</v>
      </c>
      <c r="DR17" s="446">
        <f t="shared" si="31"/>
        <v>0</v>
      </c>
      <c r="DS17" s="446">
        <f t="shared" si="31"/>
        <v>0</v>
      </c>
      <c r="DT17" s="446">
        <f t="shared" si="31"/>
        <v>0</v>
      </c>
      <c r="DU17" s="446">
        <f t="shared" si="31"/>
        <v>0</v>
      </c>
      <c r="DV17" s="446">
        <f t="shared" si="31"/>
        <v>0</v>
      </c>
      <c r="DW17" s="446">
        <f t="shared" si="31"/>
        <v>0</v>
      </c>
      <c r="DX17" s="446">
        <f t="shared" si="31"/>
        <v>0</v>
      </c>
      <c r="DY17" s="446">
        <f t="shared" si="31"/>
        <v>0</v>
      </c>
      <c r="DZ17" s="446">
        <f t="shared" si="31"/>
        <v>0</v>
      </c>
      <c r="EA17" s="446">
        <f t="shared" si="31"/>
        <v>0</v>
      </c>
      <c r="EB17" s="446">
        <f t="shared" si="31"/>
        <v>0</v>
      </c>
      <c r="EC17" s="446">
        <f t="shared" si="31"/>
        <v>0</v>
      </c>
      <c r="ED17" s="446">
        <f t="shared" si="31"/>
        <v>0</v>
      </c>
      <c r="EE17" s="446">
        <f t="shared" si="31"/>
        <v>0</v>
      </c>
      <c r="EF17" s="446">
        <f t="shared" si="31"/>
        <v>0</v>
      </c>
      <c r="EG17" s="446">
        <f t="shared" si="31"/>
        <v>0</v>
      </c>
      <c r="EH17" s="446">
        <f t="shared" si="31"/>
        <v>0</v>
      </c>
      <c r="EI17" s="446">
        <f t="shared" si="31"/>
        <v>0</v>
      </c>
      <c r="EJ17" s="446">
        <f t="shared" si="31"/>
        <v>0</v>
      </c>
      <c r="EK17" s="446">
        <f t="shared" si="31"/>
        <v>0</v>
      </c>
      <c r="EL17" s="446">
        <f t="shared" ref="EL17:FL18" si="32">ROUNDUP($L17*EL$4,0)</f>
        <v>0</v>
      </c>
      <c r="EM17" s="446">
        <f t="shared" si="32"/>
        <v>0</v>
      </c>
      <c r="EN17" s="446">
        <f t="shared" si="32"/>
        <v>0</v>
      </c>
      <c r="EO17" s="446">
        <f t="shared" si="32"/>
        <v>0</v>
      </c>
      <c r="EP17" s="446">
        <f t="shared" si="32"/>
        <v>0</v>
      </c>
      <c r="EQ17" s="446">
        <f t="shared" si="32"/>
        <v>0</v>
      </c>
      <c r="ER17" s="446">
        <f t="shared" si="32"/>
        <v>0</v>
      </c>
      <c r="ES17" s="446">
        <f t="shared" si="32"/>
        <v>0</v>
      </c>
      <c r="ET17" s="446">
        <f t="shared" si="32"/>
        <v>0</v>
      </c>
      <c r="EU17" s="446">
        <f t="shared" si="32"/>
        <v>0</v>
      </c>
      <c r="EV17" s="446">
        <f t="shared" si="32"/>
        <v>0</v>
      </c>
      <c r="EW17" s="446">
        <f t="shared" si="32"/>
        <v>0</v>
      </c>
      <c r="EX17" s="446">
        <f t="shared" si="32"/>
        <v>0</v>
      </c>
      <c r="EY17" s="446">
        <f t="shared" si="32"/>
        <v>0</v>
      </c>
      <c r="EZ17" s="446">
        <f t="shared" si="32"/>
        <v>0</v>
      </c>
      <c r="FA17" s="446">
        <f t="shared" si="32"/>
        <v>0</v>
      </c>
      <c r="FB17" s="446">
        <f t="shared" si="32"/>
        <v>0</v>
      </c>
      <c r="FC17" s="446">
        <f t="shared" si="32"/>
        <v>0</v>
      </c>
      <c r="FD17" s="446">
        <f t="shared" si="32"/>
        <v>0</v>
      </c>
      <c r="FE17" s="446">
        <f t="shared" si="32"/>
        <v>0</v>
      </c>
      <c r="FF17" s="446">
        <f t="shared" si="32"/>
        <v>0</v>
      </c>
      <c r="FG17" s="446">
        <f t="shared" si="32"/>
        <v>0</v>
      </c>
      <c r="FH17" s="446">
        <f t="shared" si="32"/>
        <v>0</v>
      </c>
      <c r="FI17" s="446">
        <f t="shared" si="32"/>
        <v>0</v>
      </c>
      <c r="FJ17" s="446">
        <f t="shared" si="32"/>
        <v>0</v>
      </c>
      <c r="FK17" s="446">
        <f t="shared" si="32"/>
        <v>0</v>
      </c>
      <c r="FL17" s="446">
        <f t="shared" si="32"/>
        <v>0</v>
      </c>
      <c r="FM17" s="446">
        <f>SUM(טבלה8[[#This Row],[1]:[156]])</f>
        <v>0</v>
      </c>
      <c r="FN17" s="447">
        <f>CEILING(טבלה8[[#This Row],[סה"כ]]/5+טבלה8[[#This Row],[סה"כ]]/5*טבלה8[[#This Row],[תוספת]],1)</f>
        <v>0</v>
      </c>
      <c r="FO17" s="554" t="str">
        <f>טבלה8[[#This Row],[מוצר]]</f>
        <v>עגבניה יח'</v>
      </c>
      <c r="FP17" s="555">
        <v>0.1</v>
      </c>
      <c r="FR17" s="224" t="s">
        <v>80</v>
      </c>
    </row>
    <row r="18" spans="1:174" ht="16.5" customHeight="1">
      <c r="A18" s="440" t="s">
        <v>679</v>
      </c>
      <c r="B18" s="440">
        <v>11</v>
      </c>
      <c r="C18" s="440">
        <v>3</v>
      </c>
      <c r="D18" s="427" t="e">
        <f>SUMIF([2]!טבלה6[קוד מוצר],C18,[2]!טבלה6[מחיר לקוח])</f>
        <v>#REF!</v>
      </c>
      <c r="E18" s="440">
        <v>1</v>
      </c>
      <c r="F18" s="427" t="e">
        <f>D18/E18/7</f>
        <v>#REF!</v>
      </c>
      <c r="G18" s="441">
        <v>0</v>
      </c>
      <c r="H18" s="442" t="e">
        <f t="shared" si="1"/>
        <v>#REF!</v>
      </c>
      <c r="I18" s="443" t="e">
        <f t="shared" si="2"/>
        <v>#REF!</v>
      </c>
      <c r="J18" s="440" t="s">
        <v>682</v>
      </c>
      <c r="K18" s="444" t="s">
        <v>681</v>
      </c>
      <c r="L18" s="445">
        <f>1/4</f>
        <v>0.25</v>
      </c>
      <c r="M18" s="446">
        <f t="shared" si="27"/>
        <v>0</v>
      </c>
      <c r="N18" s="446">
        <f t="shared" si="27"/>
        <v>0</v>
      </c>
      <c r="O18" s="446">
        <f t="shared" si="27"/>
        <v>0</v>
      </c>
      <c r="P18" s="446">
        <f t="shared" si="27"/>
        <v>0</v>
      </c>
      <c r="Q18" s="446">
        <f t="shared" si="27"/>
        <v>0</v>
      </c>
      <c r="R18" s="446">
        <f t="shared" si="28"/>
        <v>0</v>
      </c>
      <c r="S18" s="446">
        <f t="shared" si="28"/>
        <v>0</v>
      </c>
      <c r="T18" s="446">
        <f t="shared" si="28"/>
        <v>0</v>
      </c>
      <c r="U18" s="446">
        <f t="shared" si="28"/>
        <v>0</v>
      </c>
      <c r="V18" s="446">
        <f t="shared" si="28"/>
        <v>0</v>
      </c>
      <c r="W18" s="446">
        <f t="shared" si="28"/>
        <v>0</v>
      </c>
      <c r="X18" s="446">
        <f t="shared" si="28"/>
        <v>0</v>
      </c>
      <c r="Y18" s="446">
        <f t="shared" si="28"/>
        <v>0</v>
      </c>
      <c r="Z18" s="446">
        <f t="shared" si="28"/>
        <v>0</v>
      </c>
      <c r="AA18" s="446">
        <f t="shared" si="28"/>
        <v>0</v>
      </c>
      <c r="AB18" s="446">
        <f t="shared" si="28"/>
        <v>0</v>
      </c>
      <c r="AC18" s="446">
        <f t="shared" si="28"/>
        <v>0</v>
      </c>
      <c r="AD18" s="446">
        <f t="shared" si="28"/>
        <v>0</v>
      </c>
      <c r="AE18" s="446">
        <f t="shared" si="28"/>
        <v>0</v>
      </c>
      <c r="AF18" s="446">
        <f t="shared" si="28"/>
        <v>0</v>
      </c>
      <c r="AG18" s="446">
        <f t="shared" si="28"/>
        <v>0</v>
      </c>
      <c r="AH18" s="446">
        <f t="shared" si="28"/>
        <v>0</v>
      </c>
      <c r="AI18" s="446">
        <f t="shared" si="28"/>
        <v>0</v>
      </c>
      <c r="AJ18" s="446">
        <f t="shared" si="28"/>
        <v>0</v>
      </c>
      <c r="AK18" s="446">
        <f t="shared" si="28"/>
        <v>0</v>
      </c>
      <c r="AL18" s="446">
        <f t="shared" si="28"/>
        <v>0</v>
      </c>
      <c r="AM18" s="446">
        <f t="shared" si="28"/>
        <v>0</v>
      </c>
      <c r="AN18" s="446">
        <f t="shared" si="28"/>
        <v>0</v>
      </c>
      <c r="AO18" s="446">
        <f t="shared" si="28"/>
        <v>0</v>
      </c>
      <c r="AP18" s="446">
        <f t="shared" si="28"/>
        <v>0</v>
      </c>
      <c r="AQ18" s="446">
        <f t="shared" si="28"/>
        <v>0</v>
      </c>
      <c r="AR18" s="446">
        <f t="shared" si="28"/>
        <v>0</v>
      </c>
      <c r="AS18" s="446">
        <f t="shared" si="28"/>
        <v>0</v>
      </c>
      <c r="AT18" s="446">
        <f t="shared" si="28"/>
        <v>0</v>
      </c>
      <c r="AU18" s="446">
        <f t="shared" si="28"/>
        <v>0</v>
      </c>
      <c r="AV18" s="446">
        <f t="shared" si="28"/>
        <v>0</v>
      </c>
      <c r="AW18" s="446">
        <f t="shared" si="28"/>
        <v>0</v>
      </c>
      <c r="AX18" s="446">
        <f t="shared" si="28"/>
        <v>0</v>
      </c>
      <c r="AY18" s="446">
        <f t="shared" si="28"/>
        <v>0</v>
      </c>
      <c r="AZ18" s="446">
        <f t="shared" si="29"/>
        <v>0</v>
      </c>
      <c r="BA18" s="446">
        <f t="shared" si="29"/>
        <v>0</v>
      </c>
      <c r="BB18" s="446">
        <f t="shared" si="30"/>
        <v>0</v>
      </c>
      <c r="BC18" s="446">
        <f t="shared" si="30"/>
        <v>0</v>
      </c>
      <c r="BD18" s="446">
        <f t="shared" si="30"/>
        <v>0</v>
      </c>
      <c r="BE18" s="446">
        <f t="shared" si="30"/>
        <v>0</v>
      </c>
      <c r="BF18" s="446">
        <f t="shared" si="30"/>
        <v>0</v>
      </c>
      <c r="BG18" s="446">
        <f t="shared" si="30"/>
        <v>0</v>
      </c>
      <c r="BH18" s="446">
        <f t="shared" si="30"/>
        <v>0</v>
      </c>
      <c r="BI18" s="638">
        <f t="shared" si="28"/>
        <v>0</v>
      </c>
      <c r="BJ18" s="446">
        <f t="shared" si="28"/>
        <v>0</v>
      </c>
      <c r="BK18" s="446">
        <f t="shared" si="28"/>
        <v>0</v>
      </c>
      <c r="BL18" s="446">
        <f t="shared" si="28"/>
        <v>0</v>
      </c>
      <c r="BM18" s="446">
        <f t="shared" si="28"/>
        <v>0</v>
      </c>
      <c r="BN18" s="446">
        <f t="shared" si="28"/>
        <v>0</v>
      </c>
      <c r="BO18" s="446">
        <f t="shared" si="28"/>
        <v>0</v>
      </c>
      <c r="BP18" s="446">
        <f t="shared" si="28"/>
        <v>0</v>
      </c>
      <c r="BQ18" s="446">
        <f t="shared" si="28"/>
        <v>0</v>
      </c>
      <c r="BR18" s="446">
        <f t="shared" si="28"/>
        <v>0</v>
      </c>
      <c r="BS18" s="446">
        <f t="shared" si="28"/>
        <v>0</v>
      </c>
      <c r="BT18" s="446">
        <f t="shared" si="28"/>
        <v>0</v>
      </c>
      <c r="BU18" s="446">
        <f t="shared" si="28"/>
        <v>0</v>
      </c>
      <c r="BV18" s="446">
        <f t="shared" si="28"/>
        <v>0</v>
      </c>
      <c r="BW18" s="446">
        <f t="shared" si="28"/>
        <v>0</v>
      </c>
      <c r="BX18" s="446">
        <f t="shared" si="28"/>
        <v>0</v>
      </c>
      <c r="BY18" s="446">
        <f t="shared" si="28"/>
        <v>0</v>
      </c>
      <c r="BZ18" s="446">
        <f t="shared" si="31"/>
        <v>0</v>
      </c>
      <c r="CA18" s="446">
        <f t="shared" si="31"/>
        <v>0</v>
      </c>
      <c r="CB18" s="446">
        <f t="shared" si="31"/>
        <v>0</v>
      </c>
      <c r="CC18" s="446">
        <f t="shared" si="31"/>
        <v>0</v>
      </c>
      <c r="CD18" s="446">
        <f t="shared" si="31"/>
        <v>0</v>
      </c>
      <c r="CE18" s="446">
        <f t="shared" si="31"/>
        <v>0</v>
      </c>
      <c r="CF18" s="446">
        <f t="shared" si="31"/>
        <v>0</v>
      </c>
      <c r="CG18" s="446">
        <f t="shared" si="31"/>
        <v>0</v>
      </c>
      <c r="CH18" s="446">
        <f t="shared" si="31"/>
        <v>0</v>
      </c>
      <c r="CI18" s="446">
        <f t="shared" si="31"/>
        <v>0</v>
      </c>
      <c r="CJ18" s="446">
        <f t="shared" si="31"/>
        <v>0</v>
      </c>
      <c r="CK18" s="446">
        <f t="shared" si="31"/>
        <v>0</v>
      </c>
      <c r="CL18" s="446">
        <f t="shared" si="31"/>
        <v>0</v>
      </c>
      <c r="CM18" s="446">
        <f t="shared" si="31"/>
        <v>0</v>
      </c>
      <c r="CN18" s="446">
        <f t="shared" si="31"/>
        <v>0</v>
      </c>
      <c r="CO18" s="446">
        <f t="shared" si="31"/>
        <v>0</v>
      </c>
      <c r="CP18" s="446">
        <f t="shared" si="31"/>
        <v>0</v>
      </c>
      <c r="CQ18" s="446">
        <f t="shared" si="31"/>
        <v>0</v>
      </c>
      <c r="CR18" s="446">
        <f t="shared" si="31"/>
        <v>0</v>
      </c>
      <c r="CS18" s="446">
        <f t="shared" si="31"/>
        <v>0</v>
      </c>
      <c r="CT18" s="446">
        <f t="shared" si="31"/>
        <v>0</v>
      </c>
      <c r="CU18" s="446">
        <f t="shared" si="31"/>
        <v>0</v>
      </c>
      <c r="CV18" s="446">
        <f t="shared" si="31"/>
        <v>0</v>
      </c>
      <c r="CW18" s="446">
        <f t="shared" si="31"/>
        <v>0</v>
      </c>
      <c r="CX18" s="446">
        <f t="shared" si="31"/>
        <v>0</v>
      </c>
      <c r="CY18" s="446">
        <f t="shared" si="31"/>
        <v>0</v>
      </c>
      <c r="CZ18" s="446">
        <f t="shared" si="31"/>
        <v>0</v>
      </c>
      <c r="DA18" s="446">
        <f t="shared" si="31"/>
        <v>0</v>
      </c>
      <c r="DB18" s="446">
        <f t="shared" si="31"/>
        <v>0</v>
      </c>
      <c r="DC18" s="446">
        <f t="shared" si="31"/>
        <v>0</v>
      </c>
      <c r="DD18" s="446">
        <f t="shared" si="31"/>
        <v>0</v>
      </c>
      <c r="DE18" s="446">
        <f t="shared" si="31"/>
        <v>0</v>
      </c>
      <c r="DF18" s="446">
        <f t="shared" si="31"/>
        <v>0</v>
      </c>
      <c r="DG18" s="446">
        <f t="shared" si="31"/>
        <v>0</v>
      </c>
      <c r="DH18" s="446">
        <f t="shared" si="31"/>
        <v>0</v>
      </c>
      <c r="DI18" s="446">
        <f t="shared" si="31"/>
        <v>0</v>
      </c>
      <c r="DJ18" s="446">
        <f t="shared" si="31"/>
        <v>0</v>
      </c>
      <c r="DK18" s="446">
        <f t="shared" si="31"/>
        <v>0</v>
      </c>
      <c r="DL18" s="446">
        <f t="shared" si="31"/>
        <v>0</v>
      </c>
      <c r="DM18" s="446">
        <f t="shared" si="31"/>
        <v>0</v>
      </c>
      <c r="DN18" s="446">
        <f t="shared" si="31"/>
        <v>0</v>
      </c>
      <c r="DO18" s="446">
        <f t="shared" si="31"/>
        <v>0</v>
      </c>
      <c r="DP18" s="446">
        <f t="shared" si="31"/>
        <v>0</v>
      </c>
      <c r="DQ18" s="446">
        <f t="shared" si="31"/>
        <v>0</v>
      </c>
      <c r="DR18" s="446">
        <f t="shared" si="31"/>
        <v>0</v>
      </c>
      <c r="DS18" s="446">
        <f t="shared" si="31"/>
        <v>0</v>
      </c>
      <c r="DT18" s="446">
        <f t="shared" si="31"/>
        <v>0</v>
      </c>
      <c r="DU18" s="446">
        <f t="shared" si="31"/>
        <v>0</v>
      </c>
      <c r="DV18" s="446">
        <f t="shared" si="31"/>
        <v>0</v>
      </c>
      <c r="DW18" s="446">
        <f t="shared" si="31"/>
        <v>0</v>
      </c>
      <c r="DX18" s="446">
        <f t="shared" si="31"/>
        <v>0</v>
      </c>
      <c r="DY18" s="446">
        <f t="shared" si="31"/>
        <v>0</v>
      </c>
      <c r="DZ18" s="446">
        <f t="shared" si="31"/>
        <v>0</v>
      </c>
      <c r="EA18" s="446">
        <f t="shared" si="31"/>
        <v>0</v>
      </c>
      <c r="EB18" s="446">
        <f t="shared" si="31"/>
        <v>0</v>
      </c>
      <c r="EC18" s="446">
        <f t="shared" si="31"/>
        <v>0</v>
      </c>
      <c r="ED18" s="446">
        <f t="shared" si="31"/>
        <v>0</v>
      </c>
      <c r="EE18" s="446">
        <f t="shared" si="31"/>
        <v>0</v>
      </c>
      <c r="EF18" s="446">
        <f t="shared" si="31"/>
        <v>0</v>
      </c>
      <c r="EG18" s="446">
        <f t="shared" si="31"/>
        <v>0</v>
      </c>
      <c r="EH18" s="446">
        <f t="shared" si="31"/>
        <v>0</v>
      </c>
      <c r="EI18" s="446">
        <f t="shared" si="31"/>
        <v>0</v>
      </c>
      <c r="EJ18" s="446">
        <f t="shared" si="31"/>
        <v>0</v>
      </c>
      <c r="EK18" s="446">
        <f t="shared" si="31"/>
        <v>0</v>
      </c>
      <c r="EL18" s="446">
        <f t="shared" si="32"/>
        <v>0</v>
      </c>
      <c r="EM18" s="446">
        <f t="shared" si="32"/>
        <v>0</v>
      </c>
      <c r="EN18" s="446">
        <f t="shared" si="32"/>
        <v>0</v>
      </c>
      <c r="EO18" s="446">
        <f t="shared" si="32"/>
        <v>0</v>
      </c>
      <c r="EP18" s="446">
        <f t="shared" si="32"/>
        <v>0</v>
      </c>
      <c r="EQ18" s="446">
        <f t="shared" si="32"/>
        <v>0</v>
      </c>
      <c r="ER18" s="446">
        <f t="shared" si="32"/>
        <v>0</v>
      </c>
      <c r="ES18" s="446">
        <f t="shared" si="32"/>
        <v>0</v>
      </c>
      <c r="ET18" s="446">
        <f t="shared" si="32"/>
        <v>0</v>
      </c>
      <c r="EU18" s="446">
        <f t="shared" si="32"/>
        <v>0</v>
      </c>
      <c r="EV18" s="446">
        <f t="shared" si="32"/>
        <v>0</v>
      </c>
      <c r="EW18" s="446">
        <f t="shared" si="32"/>
        <v>0</v>
      </c>
      <c r="EX18" s="446">
        <f t="shared" si="32"/>
        <v>0</v>
      </c>
      <c r="EY18" s="446">
        <f t="shared" si="32"/>
        <v>0</v>
      </c>
      <c r="EZ18" s="446">
        <f t="shared" si="32"/>
        <v>0</v>
      </c>
      <c r="FA18" s="446">
        <f t="shared" si="32"/>
        <v>0</v>
      </c>
      <c r="FB18" s="446">
        <f t="shared" si="32"/>
        <v>0</v>
      </c>
      <c r="FC18" s="446">
        <f t="shared" si="32"/>
        <v>0</v>
      </c>
      <c r="FD18" s="446">
        <f t="shared" si="32"/>
        <v>0</v>
      </c>
      <c r="FE18" s="446">
        <f t="shared" si="32"/>
        <v>0</v>
      </c>
      <c r="FF18" s="446">
        <f t="shared" si="32"/>
        <v>0</v>
      </c>
      <c r="FG18" s="446">
        <f t="shared" si="32"/>
        <v>0</v>
      </c>
      <c r="FH18" s="446">
        <f t="shared" si="32"/>
        <v>0</v>
      </c>
      <c r="FI18" s="446">
        <f t="shared" si="32"/>
        <v>0</v>
      </c>
      <c r="FJ18" s="446">
        <f t="shared" si="32"/>
        <v>0</v>
      </c>
      <c r="FK18" s="446">
        <f t="shared" si="32"/>
        <v>0</v>
      </c>
      <c r="FL18" s="446">
        <f t="shared" si="32"/>
        <v>0</v>
      </c>
      <c r="FM18" s="446">
        <f>SUM(טבלה8[[#This Row],[1]:[156]])</f>
        <v>0</v>
      </c>
      <c r="FN18" s="447">
        <f>CEILING(טבלה8[[#This Row],[סה"כ]]/7+טבלה8[[#This Row],[סה"כ]]/7*טבלה8[[#This Row],[תוספת]],1)</f>
        <v>0</v>
      </c>
      <c r="FO18" s="554" t="str">
        <f>טבלה8[[#This Row],[מוצר]]</f>
        <v>מלפפון יח'</v>
      </c>
      <c r="FP18" s="555">
        <v>0.1</v>
      </c>
      <c r="FR18" s="224" t="s">
        <v>79</v>
      </c>
    </row>
    <row r="19" spans="1:174" s="219" customFormat="1" ht="16.5" customHeight="1">
      <c r="A19" s="440" t="s">
        <v>683</v>
      </c>
      <c r="B19" s="440">
        <v>13</v>
      </c>
      <c r="C19" s="440" t="s">
        <v>569</v>
      </c>
      <c r="D19" s="427" t="e">
        <f>SUMIF([2]!טבלה21[מקט],C19,[2]!טבלה21[מחיר ליח''])</f>
        <v>#REF!</v>
      </c>
      <c r="E19" s="440">
        <v>1</v>
      </c>
      <c r="F19" s="427" t="e">
        <f t="shared" ref="F19:F28" si="33">D19/E19</f>
        <v>#REF!</v>
      </c>
      <c r="G19" s="441">
        <v>0.17</v>
      </c>
      <c r="H19" s="442" t="e">
        <f t="shared" si="1"/>
        <v>#REF!</v>
      </c>
      <c r="I19" s="443" t="e">
        <f t="shared" si="2"/>
        <v>#REF!</v>
      </c>
      <c r="J19" s="440" t="s">
        <v>145</v>
      </c>
      <c r="K19" s="444" t="s">
        <v>685</v>
      </c>
      <c r="L19" s="445">
        <v>6</v>
      </c>
      <c r="M19" s="446">
        <f t="shared" ref="M19:M24" si="34">IF(M$4&gt;0,$L19,0)</f>
        <v>0</v>
      </c>
      <c r="N19" s="446">
        <f t="shared" ref="N19:Q24" si="35">IF(N$4&gt;0,$L19,0)</f>
        <v>0</v>
      </c>
      <c r="O19" s="446">
        <f t="shared" si="35"/>
        <v>0</v>
      </c>
      <c r="P19" s="446">
        <f t="shared" si="35"/>
        <v>0</v>
      </c>
      <c r="Q19" s="446">
        <f t="shared" si="35"/>
        <v>0</v>
      </c>
      <c r="R19" s="446">
        <f t="shared" ref="R19:BY22" si="36">IF(R$4&gt;0,$L19,0)</f>
        <v>0</v>
      </c>
      <c r="S19" s="446">
        <f>IF(S$4&gt;0,$L19,0)</f>
        <v>0</v>
      </c>
      <c r="T19" s="446">
        <f t="shared" si="36"/>
        <v>0</v>
      </c>
      <c r="U19" s="446">
        <f t="shared" si="36"/>
        <v>0</v>
      </c>
      <c r="V19" s="446">
        <f t="shared" si="36"/>
        <v>0</v>
      </c>
      <c r="W19" s="446">
        <f t="shared" si="36"/>
        <v>0</v>
      </c>
      <c r="X19" s="446">
        <f t="shared" si="36"/>
        <v>0</v>
      </c>
      <c r="Y19" s="446">
        <f t="shared" si="36"/>
        <v>0</v>
      </c>
      <c r="Z19" s="446">
        <f t="shared" si="36"/>
        <v>0</v>
      </c>
      <c r="AA19" s="446">
        <f t="shared" si="36"/>
        <v>0</v>
      </c>
      <c r="AB19" s="446">
        <f t="shared" si="36"/>
        <v>0</v>
      </c>
      <c r="AC19" s="446">
        <f t="shared" si="36"/>
        <v>0</v>
      </c>
      <c r="AD19" s="446">
        <f t="shared" si="36"/>
        <v>0</v>
      </c>
      <c r="AE19" s="446">
        <f t="shared" si="36"/>
        <v>0</v>
      </c>
      <c r="AF19" s="446">
        <f t="shared" si="36"/>
        <v>0</v>
      </c>
      <c r="AG19" s="446">
        <f t="shared" si="36"/>
        <v>0</v>
      </c>
      <c r="AH19" s="446">
        <f t="shared" si="36"/>
        <v>0</v>
      </c>
      <c r="AI19" s="446">
        <f t="shared" si="36"/>
        <v>0</v>
      </c>
      <c r="AJ19" s="446">
        <f t="shared" si="36"/>
        <v>0</v>
      </c>
      <c r="AK19" s="446">
        <f t="shared" si="36"/>
        <v>0</v>
      </c>
      <c r="AL19" s="446">
        <f t="shared" si="36"/>
        <v>0</v>
      </c>
      <c r="AM19" s="446">
        <f t="shared" si="36"/>
        <v>0</v>
      </c>
      <c r="AN19" s="446">
        <f t="shared" si="36"/>
        <v>0</v>
      </c>
      <c r="AO19" s="446">
        <f t="shared" si="36"/>
        <v>0</v>
      </c>
      <c r="AP19" s="446">
        <f t="shared" si="36"/>
        <v>0</v>
      </c>
      <c r="AQ19" s="446">
        <f t="shared" si="36"/>
        <v>0</v>
      </c>
      <c r="AR19" s="446">
        <f t="shared" si="36"/>
        <v>0</v>
      </c>
      <c r="AS19" s="446">
        <f t="shared" si="36"/>
        <v>0</v>
      </c>
      <c r="AT19" s="446">
        <f t="shared" si="36"/>
        <v>0</v>
      </c>
      <c r="AU19" s="446">
        <f t="shared" si="36"/>
        <v>0</v>
      </c>
      <c r="AV19" s="446">
        <f t="shared" si="36"/>
        <v>0</v>
      </c>
      <c r="AW19" s="446">
        <f t="shared" si="36"/>
        <v>0</v>
      </c>
      <c r="AX19" s="446">
        <f t="shared" si="36"/>
        <v>0</v>
      </c>
      <c r="AY19" s="446">
        <f t="shared" si="36"/>
        <v>0</v>
      </c>
      <c r="AZ19" s="446">
        <f t="shared" ref="AZ19:BA24" si="37">IF(AZ$4&gt;0,$L19,0)</f>
        <v>0</v>
      </c>
      <c r="BA19" s="446">
        <f t="shared" si="37"/>
        <v>0</v>
      </c>
      <c r="BB19" s="446">
        <f t="shared" ref="BB19:BH24" si="38">IF(BB$4&gt;0,$L19,0)</f>
        <v>0</v>
      </c>
      <c r="BC19" s="446">
        <f t="shared" si="38"/>
        <v>0</v>
      </c>
      <c r="BD19" s="446">
        <f t="shared" si="38"/>
        <v>0</v>
      </c>
      <c r="BE19" s="446">
        <f t="shared" si="38"/>
        <v>0</v>
      </c>
      <c r="BF19" s="446">
        <f t="shared" si="38"/>
        <v>0</v>
      </c>
      <c r="BG19" s="446">
        <f t="shared" si="38"/>
        <v>0</v>
      </c>
      <c r="BH19" s="446">
        <f t="shared" si="38"/>
        <v>0</v>
      </c>
      <c r="BI19" s="638">
        <f t="shared" si="36"/>
        <v>0</v>
      </c>
      <c r="BJ19" s="446">
        <f t="shared" si="36"/>
        <v>0</v>
      </c>
      <c r="BK19" s="446">
        <f t="shared" si="36"/>
        <v>0</v>
      </c>
      <c r="BL19" s="446">
        <f t="shared" si="36"/>
        <v>0</v>
      </c>
      <c r="BM19" s="446">
        <f t="shared" si="36"/>
        <v>0</v>
      </c>
      <c r="BN19" s="446">
        <f t="shared" si="36"/>
        <v>0</v>
      </c>
      <c r="BO19" s="446">
        <f t="shared" si="36"/>
        <v>0</v>
      </c>
      <c r="BP19" s="446">
        <f t="shared" si="36"/>
        <v>0</v>
      </c>
      <c r="BQ19" s="446">
        <f t="shared" si="36"/>
        <v>0</v>
      </c>
      <c r="BR19" s="446">
        <f t="shared" si="36"/>
        <v>0</v>
      </c>
      <c r="BS19" s="446">
        <f t="shared" si="36"/>
        <v>0</v>
      </c>
      <c r="BT19" s="446">
        <f t="shared" si="36"/>
        <v>0</v>
      </c>
      <c r="BU19" s="446">
        <f t="shared" si="36"/>
        <v>0</v>
      </c>
      <c r="BV19" s="446">
        <f t="shared" si="36"/>
        <v>0</v>
      </c>
      <c r="BW19" s="446">
        <f t="shared" si="36"/>
        <v>0</v>
      </c>
      <c r="BX19" s="446">
        <f t="shared" si="36"/>
        <v>0</v>
      </c>
      <c r="BY19" s="446">
        <f t="shared" si="36"/>
        <v>0</v>
      </c>
      <c r="BZ19" s="446">
        <f t="shared" ref="BZ19:EK22" si="39">IF(BZ$4&gt;0,$L19,0)</f>
        <v>0</v>
      </c>
      <c r="CA19" s="446">
        <f t="shared" si="39"/>
        <v>0</v>
      </c>
      <c r="CB19" s="446">
        <f t="shared" si="39"/>
        <v>0</v>
      </c>
      <c r="CC19" s="446">
        <f t="shared" si="39"/>
        <v>0</v>
      </c>
      <c r="CD19" s="446">
        <f t="shared" si="39"/>
        <v>0</v>
      </c>
      <c r="CE19" s="446">
        <f t="shared" si="39"/>
        <v>0</v>
      </c>
      <c r="CF19" s="446">
        <f t="shared" si="39"/>
        <v>0</v>
      </c>
      <c r="CG19" s="446">
        <f t="shared" si="39"/>
        <v>0</v>
      </c>
      <c r="CH19" s="446">
        <f t="shared" si="39"/>
        <v>0</v>
      </c>
      <c r="CI19" s="446">
        <f t="shared" si="39"/>
        <v>0</v>
      </c>
      <c r="CJ19" s="446">
        <f t="shared" si="39"/>
        <v>0</v>
      </c>
      <c r="CK19" s="446">
        <f t="shared" si="39"/>
        <v>0</v>
      </c>
      <c r="CL19" s="446">
        <f t="shared" si="39"/>
        <v>0</v>
      </c>
      <c r="CM19" s="446">
        <f t="shared" si="39"/>
        <v>0</v>
      </c>
      <c r="CN19" s="446">
        <f t="shared" si="39"/>
        <v>0</v>
      </c>
      <c r="CO19" s="446">
        <f t="shared" si="39"/>
        <v>0</v>
      </c>
      <c r="CP19" s="446">
        <f t="shared" si="39"/>
        <v>0</v>
      </c>
      <c r="CQ19" s="446">
        <f t="shared" si="39"/>
        <v>0</v>
      </c>
      <c r="CR19" s="446">
        <f t="shared" si="39"/>
        <v>0</v>
      </c>
      <c r="CS19" s="446">
        <f t="shared" si="39"/>
        <v>0</v>
      </c>
      <c r="CT19" s="446">
        <f t="shared" si="39"/>
        <v>0</v>
      </c>
      <c r="CU19" s="446">
        <f t="shared" si="39"/>
        <v>0</v>
      </c>
      <c r="CV19" s="446">
        <f t="shared" si="39"/>
        <v>0</v>
      </c>
      <c r="CW19" s="446">
        <f t="shared" si="39"/>
        <v>0</v>
      </c>
      <c r="CX19" s="446">
        <f t="shared" si="39"/>
        <v>0</v>
      </c>
      <c r="CY19" s="446">
        <f t="shared" si="39"/>
        <v>0</v>
      </c>
      <c r="CZ19" s="446">
        <f t="shared" si="39"/>
        <v>0</v>
      </c>
      <c r="DA19" s="446">
        <f t="shared" si="39"/>
        <v>0</v>
      </c>
      <c r="DB19" s="446">
        <f t="shared" si="39"/>
        <v>0</v>
      </c>
      <c r="DC19" s="446">
        <f t="shared" si="39"/>
        <v>0</v>
      </c>
      <c r="DD19" s="446">
        <f t="shared" si="39"/>
        <v>0</v>
      </c>
      <c r="DE19" s="446">
        <f t="shared" si="39"/>
        <v>0</v>
      </c>
      <c r="DF19" s="446">
        <f t="shared" si="39"/>
        <v>0</v>
      </c>
      <c r="DG19" s="446">
        <f t="shared" si="39"/>
        <v>0</v>
      </c>
      <c r="DH19" s="446">
        <f t="shared" si="39"/>
        <v>0</v>
      </c>
      <c r="DI19" s="446">
        <f t="shared" si="39"/>
        <v>0</v>
      </c>
      <c r="DJ19" s="446">
        <f t="shared" si="39"/>
        <v>0</v>
      </c>
      <c r="DK19" s="446">
        <f t="shared" si="39"/>
        <v>0</v>
      </c>
      <c r="DL19" s="446">
        <f t="shared" si="39"/>
        <v>0</v>
      </c>
      <c r="DM19" s="446">
        <f t="shared" si="39"/>
        <v>0</v>
      </c>
      <c r="DN19" s="446">
        <f t="shared" si="39"/>
        <v>0</v>
      </c>
      <c r="DO19" s="446">
        <f t="shared" si="39"/>
        <v>0</v>
      </c>
      <c r="DP19" s="446">
        <f t="shared" si="39"/>
        <v>0</v>
      </c>
      <c r="DQ19" s="446">
        <f t="shared" si="39"/>
        <v>0</v>
      </c>
      <c r="DR19" s="446">
        <f t="shared" si="39"/>
        <v>0</v>
      </c>
      <c r="DS19" s="446">
        <f t="shared" si="39"/>
        <v>0</v>
      </c>
      <c r="DT19" s="446">
        <f t="shared" si="39"/>
        <v>0</v>
      </c>
      <c r="DU19" s="446">
        <f t="shared" si="39"/>
        <v>0</v>
      </c>
      <c r="DV19" s="446">
        <f t="shared" si="39"/>
        <v>0</v>
      </c>
      <c r="DW19" s="446">
        <f t="shared" si="39"/>
        <v>0</v>
      </c>
      <c r="DX19" s="446">
        <f t="shared" si="39"/>
        <v>0</v>
      </c>
      <c r="DY19" s="446">
        <f t="shared" si="39"/>
        <v>0</v>
      </c>
      <c r="DZ19" s="446">
        <f t="shared" si="39"/>
        <v>0</v>
      </c>
      <c r="EA19" s="446">
        <f t="shared" si="39"/>
        <v>0</v>
      </c>
      <c r="EB19" s="446">
        <f t="shared" si="39"/>
        <v>0</v>
      </c>
      <c r="EC19" s="446">
        <f t="shared" si="39"/>
        <v>0</v>
      </c>
      <c r="ED19" s="446">
        <f t="shared" si="39"/>
        <v>0</v>
      </c>
      <c r="EE19" s="446">
        <f t="shared" si="39"/>
        <v>0</v>
      </c>
      <c r="EF19" s="446">
        <f t="shared" si="39"/>
        <v>0</v>
      </c>
      <c r="EG19" s="446">
        <f t="shared" si="39"/>
        <v>0</v>
      </c>
      <c r="EH19" s="446">
        <f t="shared" si="39"/>
        <v>0</v>
      </c>
      <c r="EI19" s="446">
        <f t="shared" si="39"/>
        <v>0</v>
      </c>
      <c r="EJ19" s="446">
        <f t="shared" si="39"/>
        <v>0</v>
      </c>
      <c r="EK19" s="446">
        <f t="shared" si="39"/>
        <v>0</v>
      </c>
      <c r="EL19" s="446">
        <f t="shared" ref="EL19:FL24" si="40">IF(EL$4&gt;0,$L19,0)</f>
        <v>0</v>
      </c>
      <c r="EM19" s="446">
        <f t="shared" si="40"/>
        <v>0</v>
      </c>
      <c r="EN19" s="446">
        <f t="shared" si="40"/>
        <v>0</v>
      </c>
      <c r="EO19" s="446">
        <f t="shared" si="40"/>
        <v>0</v>
      </c>
      <c r="EP19" s="446">
        <f t="shared" si="40"/>
        <v>0</v>
      </c>
      <c r="EQ19" s="446">
        <f t="shared" si="40"/>
        <v>0</v>
      </c>
      <c r="ER19" s="446">
        <f t="shared" si="40"/>
        <v>0</v>
      </c>
      <c r="ES19" s="446">
        <f t="shared" si="40"/>
        <v>0</v>
      </c>
      <c r="ET19" s="446">
        <f t="shared" si="40"/>
        <v>0</v>
      </c>
      <c r="EU19" s="446">
        <f t="shared" si="40"/>
        <v>0</v>
      </c>
      <c r="EV19" s="446">
        <f t="shared" si="40"/>
        <v>0</v>
      </c>
      <c r="EW19" s="446">
        <f t="shared" si="40"/>
        <v>0</v>
      </c>
      <c r="EX19" s="446">
        <f t="shared" si="40"/>
        <v>0</v>
      </c>
      <c r="EY19" s="446">
        <f t="shared" si="40"/>
        <v>0</v>
      </c>
      <c r="EZ19" s="446">
        <f t="shared" si="40"/>
        <v>0</v>
      </c>
      <c r="FA19" s="446">
        <f t="shared" si="40"/>
        <v>0</v>
      </c>
      <c r="FB19" s="446">
        <f t="shared" si="40"/>
        <v>0</v>
      </c>
      <c r="FC19" s="446">
        <f t="shared" si="40"/>
        <v>0</v>
      </c>
      <c r="FD19" s="446">
        <f t="shared" si="40"/>
        <v>0</v>
      </c>
      <c r="FE19" s="446">
        <f t="shared" si="40"/>
        <v>0</v>
      </c>
      <c r="FF19" s="446">
        <f t="shared" si="40"/>
        <v>0</v>
      </c>
      <c r="FG19" s="446">
        <f t="shared" si="40"/>
        <v>0</v>
      </c>
      <c r="FH19" s="446">
        <f t="shared" si="40"/>
        <v>0</v>
      </c>
      <c r="FI19" s="446">
        <f t="shared" si="40"/>
        <v>0</v>
      </c>
      <c r="FJ19" s="446">
        <f t="shared" si="40"/>
        <v>0</v>
      </c>
      <c r="FK19" s="446">
        <f t="shared" si="40"/>
        <v>0</v>
      </c>
      <c r="FL19" s="446">
        <f t="shared" si="40"/>
        <v>0</v>
      </c>
      <c r="FM19" s="446">
        <f>SUM(טבלה8[[#This Row],[1]:[156]])</f>
        <v>0</v>
      </c>
      <c r="FN19" s="447">
        <f>CEILING(טבלה8[[#This Row],[סה"כ]],50)</f>
        <v>0</v>
      </c>
      <c r="FO19" s="554" t="str">
        <f>טבלה8[[#This Row],[מוצר]]</f>
        <v>צלחת חד פעמית קר</v>
      </c>
      <c r="FP19" s="554"/>
      <c r="FR19" s="219" t="s">
        <v>70</v>
      </c>
    </row>
    <row r="20" spans="1:174" ht="16.5" customHeight="1">
      <c r="A20" s="440" t="s">
        <v>683</v>
      </c>
      <c r="B20" s="440">
        <v>14</v>
      </c>
      <c r="C20" s="440" t="s">
        <v>575</v>
      </c>
      <c r="D20" s="427" t="e">
        <f>SUMIF([2]!טבלה21[מקט],C20,[2]!טבלה21[מחיר ליח''])</f>
        <v>#REF!</v>
      </c>
      <c r="E20" s="440">
        <v>1</v>
      </c>
      <c r="F20" s="427" t="e">
        <f t="shared" si="33"/>
        <v>#REF!</v>
      </c>
      <c r="G20" s="441">
        <v>0.17</v>
      </c>
      <c r="H20" s="442" t="e">
        <f t="shared" si="1"/>
        <v>#REF!</v>
      </c>
      <c r="I20" s="443" t="e">
        <f t="shared" si="2"/>
        <v>#REF!</v>
      </c>
      <c r="J20" s="440" t="s">
        <v>144</v>
      </c>
      <c r="K20" s="444" t="s">
        <v>685</v>
      </c>
      <c r="L20" s="445">
        <v>6</v>
      </c>
      <c r="M20" s="446">
        <f t="shared" si="34"/>
        <v>0</v>
      </c>
      <c r="N20" s="446">
        <f t="shared" si="35"/>
        <v>0</v>
      </c>
      <c r="O20" s="446">
        <f t="shared" si="35"/>
        <v>0</v>
      </c>
      <c r="P20" s="446">
        <f t="shared" si="35"/>
        <v>0</v>
      </c>
      <c r="Q20" s="446">
        <f t="shared" si="35"/>
        <v>0</v>
      </c>
      <c r="R20" s="446">
        <f t="shared" si="36"/>
        <v>0</v>
      </c>
      <c r="S20" s="446">
        <f t="shared" si="36"/>
        <v>0</v>
      </c>
      <c r="T20" s="446">
        <f t="shared" si="36"/>
        <v>0</v>
      </c>
      <c r="U20" s="446">
        <f t="shared" si="36"/>
        <v>0</v>
      </c>
      <c r="V20" s="446">
        <f t="shared" si="36"/>
        <v>0</v>
      </c>
      <c r="W20" s="446">
        <f t="shared" si="36"/>
        <v>0</v>
      </c>
      <c r="X20" s="446">
        <f t="shared" si="36"/>
        <v>0</v>
      </c>
      <c r="Y20" s="446">
        <f t="shared" si="36"/>
        <v>0</v>
      </c>
      <c r="Z20" s="446">
        <f t="shared" si="36"/>
        <v>0</v>
      </c>
      <c r="AA20" s="446">
        <f t="shared" si="36"/>
        <v>0</v>
      </c>
      <c r="AB20" s="446">
        <f t="shared" si="36"/>
        <v>0</v>
      </c>
      <c r="AC20" s="446">
        <f t="shared" si="36"/>
        <v>0</v>
      </c>
      <c r="AD20" s="446">
        <f t="shared" si="36"/>
        <v>0</v>
      </c>
      <c r="AE20" s="446">
        <f t="shared" si="36"/>
        <v>0</v>
      </c>
      <c r="AF20" s="446">
        <f t="shared" si="36"/>
        <v>0</v>
      </c>
      <c r="AG20" s="446">
        <f t="shared" si="36"/>
        <v>0</v>
      </c>
      <c r="AH20" s="446">
        <f t="shared" si="36"/>
        <v>0</v>
      </c>
      <c r="AI20" s="446">
        <f t="shared" si="36"/>
        <v>0</v>
      </c>
      <c r="AJ20" s="446">
        <f t="shared" si="36"/>
        <v>0</v>
      </c>
      <c r="AK20" s="446">
        <f t="shared" si="36"/>
        <v>0</v>
      </c>
      <c r="AL20" s="446">
        <f t="shared" si="36"/>
        <v>0</v>
      </c>
      <c r="AM20" s="446">
        <f t="shared" si="36"/>
        <v>0</v>
      </c>
      <c r="AN20" s="446">
        <f t="shared" si="36"/>
        <v>0</v>
      </c>
      <c r="AO20" s="446">
        <f t="shared" si="36"/>
        <v>0</v>
      </c>
      <c r="AP20" s="446">
        <f t="shared" si="36"/>
        <v>0</v>
      </c>
      <c r="AQ20" s="446">
        <f t="shared" si="36"/>
        <v>0</v>
      </c>
      <c r="AR20" s="446">
        <f t="shared" si="36"/>
        <v>0</v>
      </c>
      <c r="AS20" s="446">
        <f t="shared" si="36"/>
        <v>0</v>
      </c>
      <c r="AT20" s="446">
        <f t="shared" si="36"/>
        <v>0</v>
      </c>
      <c r="AU20" s="446">
        <f t="shared" si="36"/>
        <v>0</v>
      </c>
      <c r="AV20" s="446">
        <f t="shared" si="36"/>
        <v>0</v>
      </c>
      <c r="AW20" s="446">
        <f t="shared" si="36"/>
        <v>0</v>
      </c>
      <c r="AX20" s="446">
        <f t="shared" si="36"/>
        <v>0</v>
      </c>
      <c r="AY20" s="446">
        <f t="shared" si="36"/>
        <v>0</v>
      </c>
      <c r="AZ20" s="446">
        <f t="shared" si="37"/>
        <v>0</v>
      </c>
      <c r="BA20" s="446">
        <f t="shared" si="37"/>
        <v>0</v>
      </c>
      <c r="BB20" s="446">
        <f t="shared" si="38"/>
        <v>0</v>
      </c>
      <c r="BC20" s="446">
        <f t="shared" si="38"/>
        <v>0</v>
      </c>
      <c r="BD20" s="446">
        <f t="shared" si="38"/>
        <v>0</v>
      </c>
      <c r="BE20" s="446">
        <f t="shared" si="38"/>
        <v>0</v>
      </c>
      <c r="BF20" s="446">
        <f t="shared" si="38"/>
        <v>0</v>
      </c>
      <c r="BG20" s="446">
        <f t="shared" si="38"/>
        <v>0</v>
      </c>
      <c r="BH20" s="446">
        <f t="shared" si="38"/>
        <v>0</v>
      </c>
      <c r="BI20" s="638">
        <f t="shared" si="36"/>
        <v>0</v>
      </c>
      <c r="BJ20" s="446">
        <f t="shared" si="36"/>
        <v>0</v>
      </c>
      <c r="BK20" s="446">
        <f t="shared" si="36"/>
        <v>0</v>
      </c>
      <c r="BL20" s="446">
        <f t="shared" si="36"/>
        <v>0</v>
      </c>
      <c r="BM20" s="446">
        <f t="shared" si="36"/>
        <v>0</v>
      </c>
      <c r="BN20" s="446">
        <f t="shared" si="36"/>
        <v>0</v>
      </c>
      <c r="BO20" s="446">
        <f t="shared" si="36"/>
        <v>0</v>
      </c>
      <c r="BP20" s="446">
        <f t="shared" si="36"/>
        <v>0</v>
      </c>
      <c r="BQ20" s="446">
        <f t="shared" si="36"/>
        <v>0</v>
      </c>
      <c r="BR20" s="446">
        <f t="shared" si="36"/>
        <v>0</v>
      </c>
      <c r="BS20" s="446">
        <f t="shared" si="36"/>
        <v>0</v>
      </c>
      <c r="BT20" s="446">
        <f t="shared" si="36"/>
        <v>0</v>
      </c>
      <c r="BU20" s="446">
        <f t="shared" si="36"/>
        <v>0</v>
      </c>
      <c r="BV20" s="446">
        <f t="shared" si="36"/>
        <v>0</v>
      </c>
      <c r="BW20" s="446">
        <f t="shared" si="36"/>
        <v>0</v>
      </c>
      <c r="BX20" s="446">
        <f t="shared" si="36"/>
        <v>0</v>
      </c>
      <c r="BY20" s="446">
        <f t="shared" si="36"/>
        <v>0</v>
      </c>
      <c r="BZ20" s="446">
        <f t="shared" si="39"/>
        <v>0</v>
      </c>
      <c r="CA20" s="446">
        <f t="shared" si="39"/>
        <v>0</v>
      </c>
      <c r="CB20" s="446">
        <f t="shared" si="39"/>
        <v>0</v>
      </c>
      <c r="CC20" s="446">
        <f t="shared" si="39"/>
        <v>0</v>
      </c>
      <c r="CD20" s="446">
        <f t="shared" si="39"/>
        <v>0</v>
      </c>
      <c r="CE20" s="446">
        <f t="shared" si="39"/>
        <v>0</v>
      </c>
      <c r="CF20" s="446">
        <f t="shared" si="39"/>
        <v>0</v>
      </c>
      <c r="CG20" s="446">
        <f t="shared" si="39"/>
        <v>0</v>
      </c>
      <c r="CH20" s="446">
        <f t="shared" si="39"/>
        <v>0</v>
      </c>
      <c r="CI20" s="446">
        <f t="shared" si="39"/>
        <v>0</v>
      </c>
      <c r="CJ20" s="446">
        <f t="shared" si="39"/>
        <v>0</v>
      </c>
      <c r="CK20" s="446">
        <f t="shared" si="39"/>
        <v>0</v>
      </c>
      <c r="CL20" s="446">
        <f t="shared" si="39"/>
        <v>0</v>
      </c>
      <c r="CM20" s="446">
        <f t="shared" si="39"/>
        <v>0</v>
      </c>
      <c r="CN20" s="446">
        <f t="shared" si="39"/>
        <v>0</v>
      </c>
      <c r="CO20" s="446">
        <f t="shared" si="39"/>
        <v>0</v>
      </c>
      <c r="CP20" s="446">
        <f t="shared" si="39"/>
        <v>0</v>
      </c>
      <c r="CQ20" s="446">
        <f t="shared" si="39"/>
        <v>0</v>
      </c>
      <c r="CR20" s="446">
        <f t="shared" si="39"/>
        <v>0</v>
      </c>
      <c r="CS20" s="446">
        <f t="shared" si="39"/>
        <v>0</v>
      </c>
      <c r="CT20" s="446">
        <f t="shared" si="39"/>
        <v>0</v>
      </c>
      <c r="CU20" s="446">
        <f t="shared" si="39"/>
        <v>0</v>
      </c>
      <c r="CV20" s="446">
        <f t="shared" si="39"/>
        <v>0</v>
      </c>
      <c r="CW20" s="446">
        <f t="shared" si="39"/>
        <v>0</v>
      </c>
      <c r="CX20" s="446">
        <f t="shared" si="39"/>
        <v>0</v>
      </c>
      <c r="CY20" s="446">
        <f t="shared" si="39"/>
        <v>0</v>
      </c>
      <c r="CZ20" s="446">
        <f t="shared" si="39"/>
        <v>0</v>
      </c>
      <c r="DA20" s="446">
        <f t="shared" si="39"/>
        <v>0</v>
      </c>
      <c r="DB20" s="446">
        <f t="shared" si="39"/>
        <v>0</v>
      </c>
      <c r="DC20" s="446">
        <f t="shared" si="39"/>
        <v>0</v>
      </c>
      <c r="DD20" s="446">
        <f t="shared" si="39"/>
        <v>0</v>
      </c>
      <c r="DE20" s="446">
        <f t="shared" si="39"/>
        <v>0</v>
      </c>
      <c r="DF20" s="446">
        <f t="shared" si="39"/>
        <v>0</v>
      </c>
      <c r="DG20" s="446">
        <f t="shared" si="39"/>
        <v>0</v>
      </c>
      <c r="DH20" s="446">
        <f t="shared" si="39"/>
        <v>0</v>
      </c>
      <c r="DI20" s="446">
        <f t="shared" si="39"/>
        <v>0</v>
      </c>
      <c r="DJ20" s="446">
        <f t="shared" si="39"/>
        <v>0</v>
      </c>
      <c r="DK20" s="446">
        <f t="shared" si="39"/>
        <v>0</v>
      </c>
      <c r="DL20" s="446">
        <f t="shared" si="39"/>
        <v>0</v>
      </c>
      <c r="DM20" s="446">
        <f t="shared" si="39"/>
        <v>0</v>
      </c>
      <c r="DN20" s="446">
        <f t="shared" si="39"/>
        <v>0</v>
      </c>
      <c r="DO20" s="446">
        <f t="shared" si="39"/>
        <v>0</v>
      </c>
      <c r="DP20" s="446">
        <f t="shared" si="39"/>
        <v>0</v>
      </c>
      <c r="DQ20" s="446">
        <f t="shared" si="39"/>
        <v>0</v>
      </c>
      <c r="DR20" s="446">
        <f t="shared" si="39"/>
        <v>0</v>
      </c>
      <c r="DS20" s="446">
        <f t="shared" si="39"/>
        <v>0</v>
      </c>
      <c r="DT20" s="446">
        <f t="shared" si="39"/>
        <v>0</v>
      </c>
      <c r="DU20" s="446">
        <f t="shared" si="39"/>
        <v>0</v>
      </c>
      <c r="DV20" s="446">
        <f t="shared" si="39"/>
        <v>0</v>
      </c>
      <c r="DW20" s="446">
        <f t="shared" si="39"/>
        <v>0</v>
      </c>
      <c r="DX20" s="446">
        <f t="shared" si="39"/>
        <v>0</v>
      </c>
      <c r="DY20" s="446">
        <f t="shared" si="39"/>
        <v>0</v>
      </c>
      <c r="DZ20" s="446">
        <f t="shared" si="39"/>
        <v>0</v>
      </c>
      <c r="EA20" s="446">
        <f t="shared" si="39"/>
        <v>0</v>
      </c>
      <c r="EB20" s="446">
        <f t="shared" si="39"/>
        <v>0</v>
      </c>
      <c r="EC20" s="446">
        <f t="shared" si="39"/>
        <v>0</v>
      </c>
      <c r="ED20" s="446">
        <f t="shared" si="39"/>
        <v>0</v>
      </c>
      <c r="EE20" s="446">
        <f t="shared" si="39"/>
        <v>0</v>
      </c>
      <c r="EF20" s="446">
        <f t="shared" si="39"/>
        <v>0</v>
      </c>
      <c r="EG20" s="446">
        <f t="shared" si="39"/>
        <v>0</v>
      </c>
      <c r="EH20" s="446">
        <f t="shared" si="39"/>
        <v>0</v>
      </c>
      <c r="EI20" s="446">
        <f t="shared" si="39"/>
        <v>0</v>
      </c>
      <c r="EJ20" s="446">
        <f t="shared" si="39"/>
        <v>0</v>
      </c>
      <c r="EK20" s="446">
        <f t="shared" si="39"/>
        <v>0</v>
      </c>
      <c r="EL20" s="446">
        <f t="shared" si="40"/>
        <v>0</v>
      </c>
      <c r="EM20" s="446">
        <f t="shared" si="40"/>
        <v>0</v>
      </c>
      <c r="EN20" s="446">
        <f t="shared" si="40"/>
        <v>0</v>
      </c>
      <c r="EO20" s="446">
        <f t="shared" si="40"/>
        <v>0</v>
      </c>
      <c r="EP20" s="446">
        <f t="shared" si="40"/>
        <v>0</v>
      </c>
      <c r="EQ20" s="446">
        <f t="shared" si="40"/>
        <v>0</v>
      </c>
      <c r="ER20" s="446">
        <f t="shared" si="40"/>
        <v>0</v>
      </c>
      <c r="ES20" s="446">
        <f t="shared" si="40"/>
        <v>0</v>
      </c>
      <c r="ET20" s="446">
        <f t="shared" si="40"/>
        <v>0</v>
      </c>
      <c r="EU20" s="446">
        <f t="shared" si="40"/>
        <v>0</v>
      </c>
      <c r="EV20" s="446">
        <f t="shared" si="40"/>
        <v>0</v>
      </c>
      <c r="EW20" s="446">
        <f t="shared" si="40"/>
        <v>0</v>
      </c>
      <c r="EX20" s="446">
        <f t="shared" si="40"/>
        <v>0</v>
      </c>
      <c r="EY20" s="446">
        <f t="shared" si="40"/>
        <v>0</v>
      </c>
      <c r="EZ20" s="446">
        <f t="shared" si="40"/>
        <v>0</v>
      </c>
      <c r="FA20" s="446">
        <f t="shared" si="40"/>
        <v>0</v>
      </c>
      <c r="FB20" s="446">
        <f t="shared" si="40"/>
        <v>0</v>
      </c>
      <c r="FC20" s="446">
        <f t="shared" si="40"/>
        <v>0</v>
      </c>
      <c r="FD20" s="446">
        <f t="shared" si="40"/>
        <v>0</v>
      </c>
      <c r="FE20" s="446">
        <f t="shared" si="40"/>
        <v>0</v>
      </c>
      <c r="FF20" s="446">
        <f t="shared" si="40"/>
        <v>0</v>
      </c>
      <c r="FG20" s="446">
        <f t="shared" si="40"/>
        <v>0</v>
      </c>
      <c r="FH20" s="446">
        <f t="shared" si="40"/>
        <v>0</v>
      </c>
      <c r="FI20" s="446">
        <f t="shared" si="40"/>
        <v>0</v>
      </c>
      <c r="FJ20" s="446">
        <f t="shared" si="40"/>
        <v>0</v>
      </c>
      <c r="FK20" s="446">
        <f t="shared" si="40"/>
        <v>0</v>
      </c>
      <c r="FL20" s="446">
        <f t="shared" si="40"/>
        <v>0</v>
      </c>
      <c r="FM20" s="446">
        <f>SUM(טבלה8[[#This Row],[1]:[156]])</f>
        <v>0</v>
      </c>
      <c r="FN20" s="447">
        <f>CEILING(טבלה8[[#This Row],[סה"כ]],100)</f>
        <v>0</v>
      </c>
      <c r="FO20" s="554" t="str">
        <f>טבלה8[[#This Row],[מוצר]]</f>
        <v xml:space="preserve">מזלג חד פעמי </v>
      </c>
      <c r="FP20" s="554"/>
      <c r="FR20" s="170" t="s">
        <v>686</v>
      </c>
    </row>
    <row r="21" spans="1:174" s="219" customFormat="1" ht="16.5" customHeight="1">
      <c r="A21" s="440" t="s">
        <v>683</v>
      </c>
      <c r="B21" s="440">
        <v>15</v>
      </c>
      <c r="C21" s="440" t="s">
        <v>574</v>
      </c>
      <c r="D21" s="427" t="e">
        <f>SUMIF([2]!טבלה21[מקט],C21,[2]!טבלה21[מחיר ליח''])</f>
        <v>#REF!</v>
      </c>
      <c r="E21" s="440">
        <v>1</v>
      </c>
      <c r="F21" s="427" t="e">
        <f t="shared" si="33"/>
        <v>#REF!</v>
      </c>
      <c r="G21" s="441">
        <v>0.17</v>
      </c>
      <c r="H21" s="442" t="e">
        <f t="shared" si="1"/>
        <v>#REF!</v>
      </c>
      <c r="I21" s="443" t="e">
        <f t="shared" si="2"/>
        <v>#REF!</v>
      </c>
      <c r="J21" s="440" t="s">
        <v>143</v>
      </c>
      <c r="K21" s="444" t="s">
        <v>685</v>
      </c>
      <c r="L21" s="445">
        <v>6</v>
      </c>
      <c r="M21" s="446">
        <f t="shared" si="34"/>
        <v>0</v>
      </c>
      <c r="N21" s="446">
        <f t="shared" si="35"/>
        <v>0</v>
      </c>
      <c r="O21" s="446">
        <f t="shared" si="35"/>
        <v>0</v>
      </c>
      <c r="P21" s="446">
        <f t="shared" si="35"/>
        <v>0</v>
      </c>
      <c r="Q21" s="446">
        <f t="shared" si="35"/>
        <v>0</v>
      </c>
      <c r="R21" s="446">
        <f t="shared" si="36"/>
        <v>0</v>
      </c>
      <c r="S21" s="446">
        <f t="shared" si="36"/>
        <v>0</v>
      </c>
      <c r="T21" s="446">
        <f t="shared" si="36"/>
        <v>0</v>
      </c>
      <c r="U21" s="446">
        <f t="shared" si="36"/>
        <v>0</v>
      </c>
      <c r="V21" s="446">
        <f t="shared" si="36"/>
        <v>0</v>
      </c>
      <c r="W21" s="446">
        <f t="shared" si="36"/>
        <v>0</v>
      </c>
      <c r="X21" s="446">
        <f t="shared" si="36"/>
        <v>0</v>
      </c>
      <c r="Y21" s="446">
        <f t="shared" si="36"/>
        <v>0</v>
      </c>
      <c r="Z21" s="446">
        <f t="shared" si="36"/>
        <v>0</v>
      </c>
      <c r="AA21" s="446">
        <f t="shared" si="36"/>
        <v>0</v>
      </c>
      <c r="AB21" s="446">
        <f t="shared" si="36"/>
        <v>0</v>
      </c>
      <c r="AC21" s="446">
        <f t="shared" si="36"/>
        <v>0</v>
      </c>
      <c r="AD21" s="446">
        <f t="shared" si="36"/>
        <v>0</v>
      </c>
      <c r="AE21" s="446">
        <f t="shared" si="36"/>
        <v>0</v>
      </c>
      <c r="AF21" s="446">
        <f t="shared" si="36"/>
        <v>0</v>
      </c>
      <c r="AG21" s="446">
        <f t="shared" si="36"/>
        <v>0</v>
      </c>
      <c r="AH21" s="446">
        <f t="shared" si="36"/>
        <v>0</v>
      </c>
      <c r="AI21" s="446">
        <f t="shared" si="36"/>
        <v>0</v>
      </c>
      <c r="AJ21" s="446">
        <f t="shared" si="36"/>
        <v>0</v>
      </c>
      <c r="AK21" s="446">
        <f t="shared" si="36"/>
        <v>0</v>
      </c>
      <c r="AL21" s="446">
        <f t="shared" si="36"/>
        <v>0</v>
      </c>
      <c r="AM21" s="446">
        <f t="shared" si="36"/>
        <v>0</v>
      </c>
      <c r="AN21" s="446">
        <f t="shared" si="36"/>
        <v>0</v>
      </c>
      <c r="AO21" s="446">
        <f t="shared" si="36"/>
        <v>0</v>
      </c>
      <c r="AP21" s="446">
        <f t="shared" si="36"/>
        <v>0</v>
      </c>
      <c r="AQ21" s="446">
        <f t="shared" si="36"/>
        <v>0</v>
      </c>
      <c r="AR21" s="446">
        <f t="shared" si="36"/>
        <v>0</v>
      </c>
      <c r="AS21" s="446">
        <f t="shared" si="36"/>
        <v>0</v>
      </c>
      <c r="AT21" s="446">
        <f t="shared" si="36"/>
        <v>0</v>
      </c>
      <c r="AU21" s="446">
        <f t="shared" si="36"/>
        <v>0</v>
      </c>
      <c r="AV21" s="446">
        <f t="shared" si="36"/>
        <v>0</v>
      </c>
      <c r="AW21" s="446">
        <f t="shared" si="36"/>
        <v>0</v>
      </c>
      <c r="AX21" s="446">
        <f t="shared" si="36"/>
        <v>0</v>
      </c>
      <c r="AY21" s="446">
        <f t="shared" si="36"/>
        <v>0</v>
      </c>
      <c r="AZ21" s="446">
        <f t="shared" si="37"/>
        <v>0</v>
      </c>
      <c r="BA21" s="446">
        <f t="shared" si="37"/>
        <v>0</v>
      </c>
      <c r="BB21" s="446">
        <f t="shared" si="38"/>
        <v>0</v>
      </c>
      <c r="BC21" s="446">
        <f t="shared" si="38"/>
        <v>0</v>
      </c>
      <c r="BD21" s="446">
        <f t="shared" si="38"/>
        <v>0</v>
      </c>
      <c r="BE21" s="446">
        <f t="shared" si="38"/>
        <v>0</v>
      </c>
      <c r="BF21" s="446">
        <f t="shared" si="38"/>
        <v>0</v>
      </c>
      <c r="BG21" s="446">
        <f t="shared" si="38"/>
        <v>0</v>
      </c>
      <c r="BH21" s="446">
        <f t="shared" si="38"/>
        <v>0</v>
      </c>
      <c r="BI21" s="638">
        <f t="shared" si="36"/>
        <v>0</v>
      </c>
      <c r="BJ21" s="446">
        <f t="shared" si="36"/>
        <v>0</v>
      </c>
      <c r="BK21" s="446">
        <f t="shared" si="36"/>
        <v>0</v>
      </c>
      <c r="BL21" s="446">
        <f t="shared" si="36"/>
        <v>0</v>
      </c>
      <c r="BM21" s="446">
        <f t="shared" si="36"/>
        <v>0</v>
      </c>
      <c r="BN21" s="446">
        <f t="shared" si="36"/>
        <v>0</v>
      </c>
      <c r="BO21" s="446">
        <f t="shared" si="36"/>
        <v>0</v>
      </c>
      <c r="BP21" s="446">
        <f t="shared" si="36"/>
        <v>0</v>
      </c>
      <c r="BQ21" s="446">
        <f t="shared" si="36"/>
        <v>0</v>
      </c>
      <c r="BR21" s="446">
        <f t="shared" si="36"/>
        <v>0</v>
      </c>
      <c r="BS21" s="446">
        <f t="shared" si="36"/>
        <v>0</v>
      </c>
      <c r="BT21" s="446">
        <f t="shared" si="36"/>
        <v>0</v>
      </c>
      <c r="BU21" s="446">
        <f t="shared" si="36"/>
        <v>0</v>
      </c>
      <c r="BV21" s="446">
        <f t="shared" si="36"/>
        <v>0</v>
      </c>
      <c r="BW21" s="446">
        <f t="shared" si="36"/>
        <v>0</v>
      </c>
      <c r="BX21" s="446">
        <f t="shared" si="36"/>
        <v>0</v>
      </c>
      <c r="BY21" s="446">
        <f t="shared" si="36"/>
        <v>0</v>
      </c>
      <c r="BZ21" s="446">
        <f t="shared" si="39"/>
        <v>0</v>
      </c>
      <c r="CA21" s="446">
        <f t="shared" si="39"/>
        <v>0</v>
      </c>
      <c r="CB21" s="446">
        <f t="shared" si="39"/>
        <v>0</v>
      </c>
      <c r="CC21" s="446">
        <f t="shared" si="39"/>
        <v>0</v>
      </c>
      <c r="CD21" s="446">
        <f t="shared" si="39"/>
        <v>0</v>
      </c>
      <c r="CE21" s="446">
        <f t="shared" si="39"/>
        <v>0</v>
      </c>
      <c r="CF21" s="446">
        <f t="shared" si="39"/>
        <v>0</v>
      </c>
      <c r="CG21" s="446">
        <f t="shared" si="39"/>
        <v>0</v>
      </c>
      <c r="CH21" s="446">
        <f t="shared" si="39"/>
        <v>0</v>
      </c>
      <c r="CI21" s="446">
        <f t="shared" si="39"/>
        <v>0</v>
      </c>
      <c r="CJ21" s="446">
        <f t="shared" si="39"/>
        <v>0</v>
      </c>
      <c r="CK21" s="446">
        <f t="shared" si="39"/>
        <v>0</v>
      </c>
      <c r="CL21" s="446">
        <f t="shared" si="39"/>
        <v>0</v>
      </c>
      <c r="CM21" s="446">
        <f t="shared" si="39"/>
        <v>0</v>
      </c>
      <c r="CN21" s="446">
        <f t="shared" si="39"/>
        <v>0</v>
      </c>
      <c r="CO21" s="446">
        <f t="shared" si="39"/>
        <v>0</v>
      </c>
      <c r="CP21" s="446">
        <f t="shared" si="39"/>
        <v>0</v>
      </c>
      <c r="CQ21" s="446">
        <f t="shared" si="39"/>
        <v>0</v>
      </c>
      <c r="CR21" s="446">
        <f t="shared" si="39"/>
        <v>0</v>
      </c>
      <c r="CS21" s="446">
        <f t="shared" si="39"/>
        <v>0</v>
      </c>
      <c r="CT21" s="446">
        <f t="shared" si="39"/>
        <v>0</v>
      </c>
      <c r="CU21" s="446">
        <f t="shared" si="39"/>
        <v>0</v>
      </c>
      <c r="CV21" s="446">
        <f t="shared" si="39"/>
        <v>0</v>
      </c>
      <c r="CW21" s="446">
        <f t="shared" si="39"/>
        <v>0</v>
      </c>
      <c r="CX21" s="446">
        <f t="shared" si="39"/>
        <v>0</v>
      </c>
      <c r="CY21" s="446">
        <f t="shared" si="39"/>
        <v>0</v>
      </c>
      <c r="CZ21" s="446">
        <f t="shared" si="39"/>
        <v>0</v>
      </c>
      <c r="DA21" s="446">
        <f t="shared" si="39"/>
        <v>0</v>
      </c>
      <c r="DB21" s="446">
        <f t="shared" si="39"/>
        <v>0</v>
      </c>
      <c r="DC21" s="446">
        <f t="shared" si="39"/>
        <v>0</v>
      </c>
      <c r="DD21" s="446">
        <f t="shared" si="39"/>
        <v>0</v>
      </c>
      <c r="DE21" s="446">
        <f t="shared" si="39"/>
        <v>0</v>
      </c>
      <c r="DF21" s="446">
        <f t="shared" si="39"/>
        <v>0</v>
      </c>
      <c r="DG21" s="446">
        <f t="shared" si="39"/>
        <v>0</v>
      </c>
      <c r="DH21" s="446">
        <f t="shared" si="39"/>
        <v>0</v>
      </c>
      <c r="DI21" s="446">
        <f t="shared" si="39"/>
        <v>0</v>
      </c>
      <c r="DJ21" s="446">
        <f t="shared" si="39"/>
        <v>0</v>
      </c>
      <c r="DK21" s="446">
        <f t="shared" si="39"/>
        <v>0</v>
      </c>
      <c r="DL21" s="446">
        <f t="shared" si="39"/>
        <v>0</v>
      </c>
      <c r="DM21" s="446">
        <f t="shared" si="39"/>
        <v>0</v>
      </c>
      <c r="DN21" s="446">
        <f t="shared" si="39"/>
        <v>0</v>
      </c>
      <c r="DO21" s="446">
        <f t="shared" si="39"/>
        <v>0</v>
      </c>
      <c r="DP21" s="446">
        <f t="shared" si="39"/>
        <v>0</v>
      </c>
      <c r="DQ21" s="446">
        <f t="shared" si="39"/>
        <v>0</v>
      </c>
      <c r="DR21" s="446">
        <f t="shared" si="39"/>
        <v>0</v>
      </c>
      <c r="DS21" s="446">
        <f t="shared" si="39"/>
        <v>0</v>
      </c>
      <c r="DT21" s="446">
        <f t="shared" si="39"/>
        <v>0</v>
      </c>
      <c r="DU21" s="446">
        <f t="shared" si="39"/>
        <v>0</v>
      </c>
      <c r="DV21" s="446">
        <f t="shared" si="39"/>
        <v>0</v>
      </c>
      <c r="DW21" s="446">
        <f t="shared" si="39"/>
        <v>0</v>
      </c>
      <c r="DX21" s="446">
        <f t="shared" si="39"/>
        <v>0</v>
      </c>
      <c r="DY21" s="446">
        <f t="shared" si="39"/>
        <v>0</v>
      </c>
      <c r="DZ21" s="446">
        <f t="shared" si="39"/>
        <v>0</v>
      </c>
      <c r="EA21" s="446">
        <f t="shared" si="39"/>
        <v>0</v>
      </c>
      <c r="EB21" s="446">
        <f t="shared" si="39"/>
        <v>0</v>
      </c>
      <c r="EC21" s="446">
        <f t="shared" si="39"/>
        <v>0</v>
      </c>
      <c r="ED21" s="446">
        <f t="shared" si="39"/>
        <v>0</v>
      </c>
      <c r="EE21" s="446">
        <f t="shared" si="39"/>
        <v>0</v>
      </c>
      <c r="EF21" s="446">
        <f t="shared" si="39"/>
        <v>0</v>
      </c>
      <c r="EG21" s="446">
        <f t="shared" si="39"/>
        <v>0</v>
      </c>
      <c r="EH21" s="446">
        <f t="shared" si="39"/>
        <v>0</v>
      </c>
      <c r="EI21" s="446">
        <f t="shared" si="39"/>
        <v>0</v>
      </c>
      <c r="EJ21" s="446">
        <f t="shared" si="39"/>
        <v>0</v>
      </c>
      <c r="EK21" s="446">
        <f t="shared" si="39"/>
        <v>0</v>
      </c>
      <c r="EL21" s="446">
        <f t="shared" si="40"/>
        <v>0</v>
      </c>
      <c r="EM21" s="446">
        <f t="shared" si="40"/>
        <v>0</v>
      </c>
      <c r="EN21" s="446">
        <f t="shared" si="40"/>
        <v>0</v>
      </c>
      <c r="EO21" s="446">
        <f t="shared" si="40"/>
        <v>0</v>
      </c>
      <c r="EP21" s="446">
        <f t="shared" si="40"/>
        <v>0</v>
      </c>
      <c r="EQ21" s="446">
        <f t="shared" si="40"/>
        <v>0</v>
      </c>
      <c r="ER21" s="446">
        <f t="shared" si="40"/>
        <v>0</v>
      </c>
      <c r="ES21" s="446">
        <f t="shared" si="40"/>
        <v>0</v>
      </c>
      <c r="ET21" s="446">
        <f t="shared" si="40"/>
        <v>0</v>
      </c>
      <c r="EU21" s="446">
        <f t="shared" si="40"/>
        <v>0</v>
      </c>
      <c r="EV21" s="446">
        <f t="shared" si="40"/>
        <v>0</v>
      </c>
      <c r="EW21" s="446">
        <f t="shared" si="40"/>
        <v>0</v>
      </c>
      <c r="EX21" s="446">
        <f t="shared" si="40"/>
        <v>0</v>
      </c>
      <c r="EY21" s="446">
        <f t="shared" si="40"/>
        <v>0</v>
      </c>
      <c r="EZ21" s="446">
        <f t="shared" si="40"/>
        <v>0</v>
      </c>
      <c r="FA21" s="446">
        <f t="shared" si="40"/>
        <v>0</v>
      </c>
      <c r="FB21" s="446">
        <f t="shared" si="40"/>
        <v>0</v>
      </c>
      <c r="FC21" s="446">
        <f t="shared" si="40"/>
        <v>0</v>
      </c>
      <c r="FD21" s="446">
        <f t="shared" si="40"/>
        <v>0</v>
      </c>
      <c r="FE21" s="446">
        <f t="shared" si="40"/>
        <v>0</v>
      </c>
      <c r="FF21" s="446">
        <f t="shared" si="40"/>
        <v>0</v>
      </c>
      <c r="FG21" s="446">
        <f t="shared" si="40"/>
        <v>0</v>
      </c>
      <c r="FH21" s="446">
        <f t="shared" si="40"/>
        <v>0</v>
      </c>
      <c r="FI21" s="446">
        <f t="shared" si="40"/>
        <v>0</v>
      </c>
      <c r="FJ21" s="446">
        <f t="shared" si="40"/>
        <v>0</v>
      </c>
      <c r="FK21" s="446">
        <f t="shared" si="40"/>
        <v>0</v>
      </c>
      <c r="FL21" s="446">
        <f t="shared" si="40"/>
        <v>0</v>
      </c>
      <c r="FM21" s="446">
        <f>SUM(טבלה8[[#This Row],[1]:[156]])</f>
        <v>0</v>
      </c>
      <c r="FN21" s="447">
        <f>CEILING(טבלה8[[#This Row],[סה"כ]],100)</f>
        <v>0</v>
      </c>
      <c r="FO21" s="554" t="str">
        <f>טבלה8[[#This Row],[מוצר]]</f>
        <v xml:space="preserve">סכין חד פעמי </v>
      </c>
      <c r="FP21" s="554"/>
      <c r="FR21" s="219" t="s">
        <v>687</v>
      </c>
    </row>
    <row r="22" spans="1:174" ht="16.5" customHeight="1">
      <c r="A22" s="440" t="s">
        <v>683</v>
      </c>
      <c r="B22" s="440">
        <v>16</v>
      </c>
      <c r="C22" s="440" t="s">
        <v>578</v>
      </c>
      <c r="D22" s="427" t="e">
        <f>SUMIF([2]!טבלה21[מקט],C22,[2]!טבלה21[מחיר ליח''])</f>
        <v>#REF!</v>
      </c>
      <c r="E22" s="440">
        <v>1</v>
      </c>
      <c r="F22" s="427" t="e">
        <f t="shared" si="33"/>
        <v>#REF!</v>
      </c>
      <c r="G22" s="441">
        <v>0.17</v>
      </c>
      <c r="H22" s="442" t="e">
        <f t="shared" si="1"/>
        <v>#REF!</v>
      </c>
      <c r="I22" s="443" t="e">
        <f t="shared" si="2"/>
        <v>#REF!</v>
      </c>
      <c r="J22" s="440" t="s">
        <v>688</v>
      </c>
      <c r="K22" s="444" t="s">
        <v>684</v>
      </c>
      <c r="L22" s="445">
        <v>5</v>
      </c>
      <c r="M22" s="446">
        <f t="shared" si="34"/>
        <v>0</v>
      </c>
      <c r="N22" s="446">
        <f t="shared" si="35"/>
        <v>0</v>
      </c>
      <c r="O22" s="446">
        <f t="shared" si="35"/>
        <v>0</v>
      </c>
      <c r="P22" s="446">
        <f t="shared" si="35"/>
        <v>0</v>
      </c>
      <c r="Q22" s="446">
        <f t="shared" si="35"/>
        <v>0</v>
      </c>
      <c r="R22" s="446">
        <f t="shared" si="36"/>
        <v>0</v>
      </c>
      <c r="S22" s="446">
        <f t="shared" si="36"/>
        <v>0</v>
      </c>
      <c r="T22" s="446">
        <f t="shared" si="36"/>
        <v>0</v>
      </c>
      <c r="U22" s="446">
        <f t="shared" si="36"/>
        <v>0</v>
      </c>
      <c r="V22" s="446">
        <f t="shared" si="36"/>
        <v>0</v>
      </c>
      <c r="W22" s="446">
        <f t="shared" si="36"/>
        <v>0</v>
      </c>
      <c r="X22" s="446">
        <f t="shared" si="36"/>
        <v>0</v>
      </c>
      <c r="Y22" s="446">
        <f t="shared" si="36"/>
        <v>0</v>
      </c>
      <c r="Z22" s="446">
        <f t="shared" si="36"/>
        <v>0</v>
      </c>
      <c r="AA22" s="446">
        <f t="shared" si="36"/>
        <v>0</v>
      </c>
      <c r="AB22" s="446">
        <f t="shared" si="36"/>
        <v>0</v>
      </c>
      <c r="AC22" s="446">
        <f t="shared" si="36"/>
        <v>0</v>
      </c>
      <c r="AD22" s="446">
        <f t="shared" si="36"/>
        <v>0</v>
      </c>
      <c r="AE22" s="446">
        <f t="shared" si="36"/>
        <v>0</v>
      </c>
      <c r="AF22" s="446">
        <f t="shared" si="36"/>
        <v>0</v>
      </c>
      <c r="AG22" s="446">
        <f t="shared" si="36"/>
        <v>0</v>
      </c>
      <c r="AH22" s="446">
        <f t="shared" si="36"/>
        <v>0</v>
      </c>
      <c r="AI22" s="446">
        <f t="shared" si="36"/>
        <v>0</v>
      </c>
      <c r="AJ22" s="446">
        <f t="shared" si="36"/>
        <v>0</v>
      </c>
      <c r="AK22" s="446">
        <f t="shared" si="36"/>
        <v>0</v>
      </c>
      <c r="AL22" s="446">
        <f t="shared" si="36"/>
        <v>0</v>
      </c>
      <c r="AM22" s="446">
        <f t="shared" si="36"/>
        <v>0</v>
      </c>
      <c r="AN22" s="446">
        <f t="shared" si="36"/>
        <v>0</v>
      </c>
      <c r="AO22" s="446">
        <f t="shared" si="36"/>
        <v>0</v>
      </c>
      <c r="AP22" s="446">
        <f t="shared" si="36"/>
        <v>0</v>
      </c>
      <c r="AQ22" s="446">
        <f t="shared" si="36"/>
        <v>0</v>
      </c>
      <c r="AR22" s="446">
        <f t="shared" si="36"/>
        <v>0</v>
      </c>
      <c r="AS22" s="446">
        <f t="shared" si="36"/>
        <v>0</v>
      </c>
      <c r="AT22" s="446">
        <f t="shared" si="36"/>
        <v>0</v>
      </c>
      <c r="AU22" s="446">
        <f t="shared" si="36"/>
        <v>0</v>
      </c>
      <c r="AV22" s="446">
        <f t="shared" si="36"/>
        <v>0</v>
      </c>
      <c r="AW22" s="446">
        <f t="shared" si="36"/>
        <v>0</v>
      </c>
      <c r="AX22" s="446">
        <f t="shared" si="36"/>
        <v>0</v>
      </c>
      <c r="AY22" s="446">
        <f t="shared" si="36"/>
        <v>0</v>
      </c>
      <c r="AZ22" s="446">
        <f t="shared" si="37"/>
        <v>0</v>
      </c>
      <c r="BA22" s="446">
        <f t="shared" si="37"/>
        <v>0</v>
      </c>
      <c r="BB22" s="446">
        <f t="shared" si="38"/>
        <v>0</v>
      </c>
      <c r="BC22" s="446">
        <f t="shared" si="38"/>
        <v>0</v>
      </c>
      <c r="BD22" s="446">
        <f t="shared" si="38"/>
        <v>0</v>
      </c>
      <c r="BE22" s="446">
        <f t="shared" si="38"/>
        <v>0</v>
      </c>
      <c r="BF22" s="446">
        <f t="shared" si="38"/>
        <v>0</v>
      </c>
      <c r="BG22" s="446">
        <f t="shared" si="38"/>
        <v>0</v>
      </c>
      <c r="BH22" s="446">
        <f t="shared" si="38"/>
        <v>0</v>
      </c>
      <c r="BI22" s="638">
        <f t="shared" si="36"/>
        <v>0</v>
      </c>
      <c r="BJ22" s="446">
        <f t="shared" si="36"/>
        <v>0</v>
      </c>
      <c r="BK22" s="446">
        <f t="shared" si="36"/>
        <v>0</v>
      </c>
      <c r="BL22" s="446">
        <f t="shared" si="36"/>
        <v>0</v>
      </c>
      <c r="BM22" s="446">
        <f t="shared" si="36"/>
        <v>0</v>
      </c>
      <c r="BN22" s="446">
        <f t="shared" si="36"/>
        <v>0</v>
      </c>
      <c r="BO22" s="446">
        <f t="shared" si="36"/>
        <v>0</v>
      </c>
      <c r="BP22" s="446">
        <f t="shared" si="36"/>
        <v>0</v>
      </c>
      <c r="BQ22" s="446">
        <f t="shared" si="36"/>
        <v>0</v>
      </c>
      <c r="BR22" s="446">
        <f t="shared" si="36"/>
        <v>0</v>
      </c>
      <c r="BS22" s="446">
        <f t="shared" si="36"/>
        <v>0</v>
      </c>
      <c r="BT22" s="446">
        <f t="shared" si="36"/>
        <v>0</v>
      </c>
      <c r="BU22" s="446">
        <f t="shared" si="36"/>
        <v>0</v>
      </c>
      <c r="BV22" s="446">
        <f t="shared" si="36"/>
        <v>0</v>
      </c>
      <c r="BW22" s="446">
        <f t="shared" si="36"/>
        <v>0</v>
      </c>
      <c r="BX22" s="446">
        <f t="shared" si="36"/>
        <v>0</v>
      </c>
      <c r="BY22" s="446">
        <f t="shared" ref="BY22:DD24" si="41">IF(BY$4&gt;0,$L22,0)</f>
        <v>0</v>
      </c>
      <c r="BZ22" s="446">
        <f t="shared" si="39"/>
        <v>0</v>
      </c>
      <c r="CA22" s="446">
        <f t="shared" si="39"/>
        <v>0</v>
      </c>
      <c r="CB22" s="446">
        <f t="shared" si="39"/>
        <v>0</v>
      </c>
      <c r="CC22" s="446">
        <f t="shared" si="39"/>
        <v>0</v>
      </c>
      <c r="CD22" s="446">
        <f t="shared" si="39"/>
        <v>0</v>
      </c>
      <c r="CE22" s="446">
        <f t="shared" si="39"/>
        <v>0</v>
      </c>
      <c r="CF22" s="446">
        <f t="shared" si="39"/>
        <v>0</v>
      </c>
      <c r="CG22" s="446">
        <f t="shared" si="39"/>
        <v>0</v>
      </c>
      <c r="CH22" s="446">
        <f t="shared" si="39"/>
        <v>0</v>
      </c>
      <c r="CI22" s="446">
        <f t="shared" si="39"/>
        <v>0</v>
      </c>
      <c r="CJ22" s="446">
        <f t="shared" si="39"/>
        <v>0</v>
      </c>
      <c r="CK22" s="446">
        <f t="shared" si="39"/>
        <v>0</v>
      </c>
      <c r="CL22" s="446">
        <f t="shared" si="39"/>
        <v>0</v>
      </c>
      <c r="CM22" s="446">
        <f t="shared" si="39"/>
        <v>0</v>
      </c>
      <c r="CN22" s="446">
        <f t="shared" si="39"/>
        <v>0</v>
      </c>
      <c r="CO22" s="446">
        <f t="shared" si="39"/>
        <v>0</v>
      </c>
      <c r="CP22" s="446">
        <f t="shared" si="39"/>
        <v>0</v>
      </c>
      <c r="CQ22" s="446">
        <f t="shared" si="39"/>
        <v>0</v>
      </c>
      <c r="CR22" s="446">
        <f t="shared" si="39"/>
        <v>0</v>
      </c>
      <c r="CS22" s="446">
        <f t="shared" si="39"/>
        <v>0</v>
      </c>
      <c r="CT22" s="446">
        <f t="shared" si="39"/>
        <v>0</v>
      </c>
      <c r="CU22" s="446">
        <f t="shared" si="39"/>
        <v>0</v>
      </c>
      <c r="CV22" s="446">
        <f t="shared" si="39"/>
        <v>0</v>
      </c>
      <c r="CW22" s="446">
        <f t="shared" si="39"/>
        <v>0</v>
      </c>
      <c r="CX22" s="446">
        <f t="shared" si="39"/>
        <v>0</v>
      </c>
      <c r="CY22" s="446">
        <f t="shared" si="39"/>
        <v>0</v>
      </c>
      <c r="CZ22" s="446">
        <f t="shared" si="39"/>
        <v>0</v>
      </c>
      <c r="DA22" s="446">
        <f t="shared" si="39"/>
        <v>0</v>
      </c>
      <c r="DB22" s="446">
        <f t="shared" si="39"/>
        <v>0</v>
      </c>
      <c r="DC22" s="446">
        <f t="shared" si="39"/>
        <v>0</v>
      </c>
      <c r="DD22" s="446">
        <f t="shared" si="39"/>
        <v>0</v>
      </c>
      <c r="DE22" s="446">
        <f t="shared" si="39"/>
        <v>0</v>
      </c>
      <c r="DF22" s="446">
        <f t="shared" si="39"/>
        <v>0</v>
      </c>
      <c r="DG22" s="446">
        <f t="shared" si="39"/>
        <v>0</v>
      </c>
      <c r="DH22" s="446">
        <f t="shared" si="39"/>
        <v>0</v>
      </c>
      <c r="DI22" s="446">
        <f t="shared" si="39"/>
        <v>0</v>
      </c>
      <c r="DJ22" s="446">
        <f t="shared" si="39"/>
        <v>0</v>
      </c>
      <c r="DK22" s="446">
        <f t="shared" si="39"/>
        <v>0</v>
      </c>
      <c r="DL22" s="446">
        <f t="shared" si="39"/>
        <v>0</v>
      </c>
      <c r="DM22" s="446">
        <f t="shared" si="39"/>
        <v>0</v>
      </c>
      <c r="DN22" s="446">
        <f t="shared" si="39"/>
        <v>0</v>
      </c>
      <c r="DO22" s="446">
        <f t="shared" si="39"/>
        <v>0</v>
      </c>
      <c r="DP22" s="446">
        <f t="shared" si="39"/>
        <v>0</v>
      </c>
      <c r="DQ22" s="446">
        <f t="shared" si="39"/>
        <v>0</v>
      </c>
      <c r="DR22" s="446">
        <f t="shared" si="39"/>
        <v>0</v>
      </c>
      <c r="DS22" s="446">
        <f t="shared" si="39"/>
        <v>0</v>
      </c>
      <c r="DT22" s="446">
        <f t="shared" si="39"/>
        <v>0</v>
      </c>
      <c r="DU22" s="446">
        <f t="shared" si="39"/>
        <v>0</v>
      </c>
      <c r="DV22" s="446">
        <f t="shared" si="39"/>
        <v>0</v>
      </c>
      <c r="DW22" s="446">
        <f t="shared" si="39"/>
        <v>0</v>
      </c>
      <c r="DX22" s="446">
        <f t="shared" si="39"/>
        <v>0</v>
      </c>
      <c r="DY22" s="446">
        <f t="shared" si="39"/>
        <v>0</v>
      </c>
      <c r="DZ22" s="446">
        <f t="shared" si="39"/>
        <v>0</v>
      </c>
      <c r="EA22" s="446">
        <f t="shared" si="39"/>
        <v>0</v>
      </c>
      <c r="EB22" s="446">
        <f t="shared" si="39"/>
        <v>0</v>
      </c>
      <c r="EC22" s="446">
        <f t="shared" si="39"/>
        <v>0</v>
      </c>
      <c r="ED22" s="446">
        <f t="shared" si="39"/>
        <v>0</v>
      </c>
      <c r="EE22" s="446">
        <f t="shared" si="39"/>
        <v>0</v>
      </c>
      <c r="EF22" s="446">
        <f t="shared" si="39"/>
        <v>0</v>
      </c>
      <c r="EG22" s="446">
        <f t="shared" si="39"/>
        <v>0</v>
      </c>
      <c r="EH22" s="446">
        <f t="shared" si="39"/>
        <v>0</v>
      </c>
      <c r="EI22" s="446">
        <f t="shared" si="39"/>
        <v>0</v>
      </c>
      <c r="EJ22" s="446">
        <f t="shared" si="39"/>
        <v>0</v>
      </c>
      <c r="EK22" s="446">
        <f t="shared" ref="EK22:EK24" si="42">IF(EK$4&gt;0,$L22,0)</f>
        <v>0</v>
      </c>
      <c r="EL22" s="446">
        <f t="shared" si="40"/>
        <v>0</v>
      </c>
      <c r="EM22" s="446">
        <f t="shared" si="40"/>
        <v>0</v>
      </c>
      <c r="EN22" s="446">
        <f t="shared" si="40"/>
        <v>0</v>
      </c>
      <c r="EO22" s="446">
        <f t="shared" si="40"/>
        <v>0</v>
      </c>
      <c r="EP22" s="446">
        <f t="shared" si="40"/>
        <v>0</v>
      </c>
      <c r="EQ22" s="446">
        <f t="shared" si="40"/>
        <v>0</v>
      </c>
      <c r="ER22" s="446">
        <f t="shared" si="40"/>
        <v>0</v>
      </c>
      <c r="ES22" s="446">
        <f t="shared" si="40"/>
        <v>0</v>
      </c>
      <c r="ET22" s="446">
        <f t="shared" si="40"/>
        <v>0</v>
      </c>
      <c r="EU22" s="446">
        <f t="shared" si="40"/>
        <v>0</v>
      </c>
      <c r="EV22" s="446">
        <f t="shared" si="40"/>
        <v>0</v>
      </c>
      <c r="EW22" s="446">
        <f t="shared" si="40"/>
        <v>0</v>
      </c>
      <c r="EX22" s="446">
        <f t="shared" si="40"/>
        <v>0</v>
      </c>
      <c r="EY22" s="446">
        <f t="shared" si="40"/>
        <v>0</v>
      </c>
      <c r="EZ22" s="446">
        <f t="shared" si="40"/>
        <v>0</v>
      </c>
      <c r="FA22" s="446">
        <f t="shared" si="40"/>
        <v>0</v>
      </c>
      <c r="FB22" s="446">
        <f t="shared" si="40"/>
        <v>0</v>
      </c>
      <c r="FC22" s="446">
        <f t="shared" si="40"/>
        <v>0</v>
      </c>
      <c r="FD22" s="446">
        <f t="shared" si="40"/>
        <v>0</v>
      </c>
      <c r="FE22" s="446">
        <f t="shared" si="40"/>
        <v>0</v>
      </c>
      <c r="FF22" s="446">
        <f t="shared" si="40"/>
        <v>0</v>
      </c>
      <c r="FG22" s="446">
        <f t="shared" si="40"/>
        <v>0</v>
      </c>
      <c r="FH22" s="446">
        <f t="shared" si="40"/>
        <v>0</v>
      </c>
      <c r="FI22" s="446">
        <f t="shared" si="40"/>
        <v>0</v>
      </c>
      <c r="FJ22" s="446">
        <f t="shared" si="40"/>
        <v>0</v>
      </c>
      <c r="FK22" s="446">
        <f t="shared" si="40"/>
        <v>0</v>
      </c>
      <c r="FL22" s="446">
        <f t="shared" si="40"/>
        <v>0</v>
      </c>
      <c r="FM22" s="446">
        <f>SUM(טבלה8[[#This Row],[1]:[156]])</f>
        <v>0</v>
      </c>
      <c r="FN22" s="447">
        <f>CEILING(טבלה8[[#This Row],[סה"כ]],50)</f>
        <v>0</v>
      </c>
      <c r="FO22" s="554" t="str">
        <f>טבלה8[[#This Row],[מוצר]]</f>
        <v xml:space="preserve">שקיות גופייה לחניכים </v>
      </c>
      <c r="FP22" s="554"/>
      <c r="FR22" s="170" t="s">
        <v>689</v>
      </c>
    </row>
    <row r="23" spans="1:174" s="219" customFormat="1" ht="16.5" customHeight="1">
      <c r="A23" s="440" t="s">
        <v>683</v>
      </c>
      <c r="B23" s="440">
        <v>17</v>
      </c>
      <c r="C23" s="440" t="s">
        <v>578</v>
      </c>
      <c r="D23" s="427" t="e">
        <f>SUMIF([2]!טבלה21[מקט],C23,[2]!טבלה21[מחיר ליח''])</f>
        <v>#REF!</v>
      </c>
      <c r="E23" s="440">
        <v>1</v>
      </c>
      <c r="F23" s="427" t="e">
        <f t="shared" si="33"/>
        <v>#REF!</v>
      </c>
      <c r="G23" s="441">
        <v>0.17</v>
      </c>
      <c r="H23" s="442" t="e">
        <f t="shared" si="1"/>
        <v>#REF!</v>
      </c>
      <c r="I23" s="443" t="e">
        <f t="shared" si="2"/>
        <v>#REF!</v>
      </c>
      <c r="J23" s="440" t="s">
        <v>690</v>
      </c>
      <c r="K23" s="444" t="s">
        <v>691</v>
      </c>
      <c r="L23" s="450">
        <v>8</v>
      </c>
      <c r="M23" s="446">
        <f t="shared" si="34"/>
        <v>0</v>
      </c>
      <c r="N23" s="446">
        <f t="shared" si="35"/>
        <v>0</v>
      </c>
      <c r="O23" s="446">
        <f t="shared" si="35"/>
        <v>0</v>
      </c>
      <c r="P23" s="446">
        <f t="shared" si="35"/>
        <v>0</v>
      </c>
      <c r="Q23" s="446">
        <f t="shared" si="35"/>
        <v>0</v>
      </c>
      <c r="R23" s="446">
        <f t="shared" ref="R23:BX24" si="43">IF(R$4&gt;0,$L23,0)</f>
        <v>0</v>
      </c>
      <c r="S23" s="446">
        <f t="shared" si="43"/>
        <v>0</v>
      </c>
      <c r="T23" s="446">
        <f t="shared" si="43"/>
        <v>0</v>
      </c>
      <c r="U23" s="446">
        <f t="shared" si="43"/>
        <v>0</v>
      </c>
      <c r="V23" s="446">
        <f t="shared" si="43"/>
        <v>0</v>
      </c>
      <c r="W23" s="446">
        <f t="shared" si="43"/>
        <v>0</v>
      </c>
      <c r="X23" s="446">
        <f t="shared" si="43"/>
        <v>0</v>
      </c>
      <c r="Y23" s="446">
        <f t="shared" si="43"/>
        <v>0</v>
      </c>
      <c r="Z23" s="446">
        <f t="shared" si="43"/>
        <v>0</v>
      </c>
      <c r="AA23" s="446">
        <f t="shared" si="43"/>
        <v>0</v>
      </c>
      <c r="AB23" s="446">
        <f t="shared" si="43"/>
        <v>0</v>
      </c>
      <c r="AC23" s="446">
        <f t="shared" si="43"/>
        <v>0</v>
      </c>
      <c r="AD23" s="446">
        <f t="shared" si="43"/>
        <v>0</v>
      </c>
      <c r="AE23" s="446">
        <f t="shared" si="43"/>
        <v>0</v>
      </c>
      <c r="AF23" s="446">
        <f t="shared" si="43"/>
        <v>0</v>
      </c>
      <c r="AG23" s="446">
        <f t="shared" si="43"/>
        <v>0</v>
      </c>
      <c r="AH23" s="446">
        <f t="shared" si="43"/>
        <v>0</v>
      </c>
      <c r="AI23" s="446">
        <f t="shared" si="43"/>
        <v>0</v>
      </c>
      <c r="AJ23" s="446">
        <f t="shared" si="43"/>
        <v>0</v>
      </c>
      <c r="AK23" s="446">
        <f t="shared" si="43"/>
        <v>0</v>
      </c>
      <c r="AL23" s="446">
        <f t="shared" si="43"/>
        <v>0</v>
      </c>
      <c r="AM23" s="446">
        <f t="shared" si="43"/>
        <v>0</v>
      </c>
      <c r="AN23" s="446">
        <f t="shared" si="43"/>
        <v>0</v>
      </c>
      <c r="AO23" s="446">
        <f t="shared" si="43"/>
        <v>0</v>
      </c>
      <c r="AP23" s="446">
        <f t="shared" si="43"/>
        <v>0</v>
      </c>
      <c r="AQ23" s="446">
        <f t="shared" si="43"/>
        <v>0</v>
      </c>
      <c r="AR23" s="446">
        <f t="shared" si="43"/>
        <v>0</v>
      </c>
      <c r="AS23" s="446">
        <f t="shared" si="43"/>
        <v>0</v>
      </c>
      <c r="AT23" s="446">
        <f t="shared" si="43"/>
        <v>0</v>
      </c>
      <c r="AU23" s="446">
        <f t="shared" si="43"/>
        <v>0</v>
      </c>
      <c r="AV23" s="446">
        <f t="shared" si="43"/>
        <v>0</v>
      </c>
      <c r="AW23" s="446">
        <f t="shared" si="43"/>
        <v>0</v>
      </c>
      <c r="AX23" s="446">
        <f t="shared" si="43"/>
        <v>0</v>
      </c>
      <c r="AY23" s="446">
        <f t="shared" si="43"/>
        <v>0</v>
      </c>
      <c r="AZ23" s="446">
        <f t="shared" si="37"/>
        <v>0</v>
      </c>
      <c r="BA23" s="446">
        <f t="shared" si="37"/>
        <v>0</v>
      </c>
      <c r="BB23" s="446">
        <f t="shared" si="38"/>
        <v>0</v>
      </c>
      <c r="BC23" s="446">
        <f t="shared" si="38"/>
        <v>0</v>
      </c>
      <c r="BD23" s="446">
        <f t="shared" si="38"/>
        <v>0</v>
      </c>
      <c r="BE23" s="446">
        <f t="shared" si="38"/>
        <v>0</v>
      </c>
      <c r="BF23" s="446">
        <f t="shared" si="38"/>
        <v>0</v>
      </c>
      <c r="BG23" s="446">
        <f t="shared" si="38"/>
        <v>0</v>
      </c>
      <c r="BH23" s="446">
        <f t="shared" si="38"/>
        <v>0</v>
      </c>
      <c r="BI23" s="638">
        <f t="shared" si="43"/>
        <v>0</v>
      </c>
      <c r="BJ23" s="446">
        <f t="shared" si="43"/>
        <v>0</v>
      </c>
      <c r="BK23" s="446">
        <f t="shared" si="43"/>
        <v>0</v>
      </c>
      <c r="BL23" s="446">
        <f t="shared" si="43"/>
        <v>0</v>
      </c>
      <c r="BM23" s="446">
        <f t="shared" si="43"/>
        <v>0</v>
      </c>
      <c r="BN23" s="446">
        <f t="shared" si="43"/>
        <v>0</v>
      </c>
      <c r="BO23" s="446">
        <f t="shared" si="43"/>
        <v>0</v>
      </c>
      <c r="BP23" s="446">
        <f t="shared" si="43"/>
        <v>0</v>
      </c>
      <c r="BQ23" s="446">
        <f t="shared" si="43"/>
        <v>0</v>
      </c>
      <c r="BR23" s="446">
        <f t="shared" si="43"/>
        <v>0</v>
      </c>
      <c r="BS23" s="446">
        <f t="shared" si="43"/>
        <v>0</v>
      </c>
      <c r="BT23" s="446">
        <f t="shared" si="43"/>
        <v>0</v>
      </c>
      <c r="BU23" s="446">
        <f t="shared" si="43"/>
        <v>0</v>
      </c>
      <c r="BV23" s="446">
        <f t="shared" si="43"/>
        <v>0</v>
      </c>
      <c r="BW23" s="446">
        <f t="shared" si="43"/>
        <v>0</v>
      </c>
      <c r="BX23" s="446">
        <f t="shared" si="43"/>
        <v>0</v>
      </c>
      <c r="BY23" s="446">
        <f t="shared" si="41"/>
        <v>0</v>
      </c>
      <c r="BZ23" s="446">
        <f t="shared" si="41"/>
        <v>0</v>
      </c>
      <c r="CA23" s="446">
        <f t="shared" si="41"/>
        <v>0</v>
      </c>
      <c r="CB23" s="446">
        <f t="shared" si="41"/>
        <v>0</v>
      </c>
      <c r="CC23" s="446">
        <f t="shared" si="41"/>
        <v>0</v>
      </c>
      <c r="CD23" s="446">
        <f t="shared" si="41"/>
        <v>0</v>
      </c>
      <c r="CE23" s="446">
        <f t="shared" si="41"/>
        <v>0</v>
      </c>
      <c r="CF23" s="446">
        <f t="shared" si="41"/>
        <v>0</v>
      </c>
      <c r="CG23" s="446">
        <f t="shared" si="41"/>
        <v>0</v>
      </c>
      <c r="CH23" s="446">
        <f t="shared" si="41"/>
        <v>0</v>
      </c>
      <c r="CI23" s="446">
        <f t="shared" si="41"/>
        <v>0</v>
      </c>
      <c r="CJ23" s="446">
        <f t="shared" si="41"/>
        <v>0</v>
      </c>
      <c r="CK23" s="446">
        <f t="shared" si="41"/>
        <v>0</v>
      </c>
      <c r="CL23" s="446">
        <f t="shared" si="41"/>
        <v>0</v>
      </c>
      <c r="CM23" s="446">
        <f t="shared" si="41"/>
        <v>0</v>
      </c>
      <c r="CN23" s="446">
        <f t="shared" si="41"/>
        <v>0</v>
      </c>
      <c r="CO23" s="446">
        <f t="shared" si="41"/>
        <v>0</v>
      </c>
      <c r="CP23" s="446">
        <f t="shared" si="41"/>
        <v>0</v>
      </c>
      <c r="CQ23" s="446">
        <f t="shared" si="41"/>
        <v>0</v>
      </c>
      <c r="CR23" s="446">
        <f t="shared" si="41"/>
        <v>0</v>
      </c>
      <c r="CS23" s="446">
        <f t="shared" si="41"/>
        <v>0</v>
      </c>
      <c r="CT23" s="446">
        <f t="shared" si="41"/>
        <v>0</v>
      </c>
      <c r="CU23" s="446">
        <f t="shared" si="41"/>
        <v>0</v>
      </c>
      <c r="CV23" s="446">
        <f t="shared" si="41"/>
        <v>0</v>
      </c>
      <c r="CW23" s="446">
        <f t="shared" si="41"/>
        <v>0</v>
      </c>
      <c r="CX23" s="446">
        <f t="shared" si="41"/>
        <v>0</v>
      </c>
      <c r="CY23" s="446">
        <f t="shared" si="41"/>
        <v>0</v>
      </c>
      <c r="CZ23" s="446">
        <f t="shared" si="41"/>
        <v>0</v>
      </c>
      <c r="DA23" s="446">
        <f t="shared" si="41"/>
        <v>0</v>
      </c>
      <c r="DB23" s="446">
        <f t="shared" si="41"/>
        <v>0</v>
      </c>
      <c r="DC23" s="446">
        <f t="shared" si="41"/>
        <v>0</v>
      </c>
      <c r="DD23" s="446">
        <f t="shared" si="41"/>
        <v>0</v>
      </c>
      <c r="DE23" s="446">
        <f t="shared" ref="DE23:EJ24" si="44">IF(DE$4&gt;0,$L23,0)</f>
        <v>0</v>
      </c>
      <c r="DF23" s="446">
        <f t="shared" si="44"/>
        <v>0</v>
      </c>
      <c r="DG23" s="446">
        <f t="shared" si="44"/>
        <v>0</v>
      </c>
      <c r="DH23" s="446">
        <f t="shared" si="44"/>
        <v>0</v>
      </c>
      <c r="DI23" s="446">
        <f t="shared" si="44"/>
        <v>0</v>
      </c>
      <c r="DJ23" s="446">
        <f t="shared" si="44"/>
        <v>0</v>
      </c>
      <c r="DK23" s="446">
        <f t="shared" si="44"/>
        <v>0</v>
      </c>
      <c r="DL23" s="446">
        <f t="shared" si="44"/>
        <v>0</v>
      </c>
      <c r="DM23" s="446">
        <f t="shared" si="44"/>
        <v>0</v>
      </c>
      <c r="DN23" s="446">
        <f t="shared" si="44"/>
        <v>0</v>
      </c>
      <c r="DO23" s="446">
        <f t="shared" si="44"/>
        <v>0</v>
      </c>
      <c r="DP23" s="446">
        <f t="shared" si="44"/>
        <v>0</v>
      </c>
      <c r="DQ23" s="446">
        <f t="shared" si="44"/>
        <v>0</v>
      </c>
      <c r="DR23" s="446">
        <f t="shared" si="44"/>
        <v>0</v>
      </c>
      <c r="DS23" s="446">
        <f t="shared" si="44"/>
        <v>0</v>
      </c>
      <c r="DT23" s="446">
        <f t="shared" si="44"/>
        <v>0</v>
      </c>
      <c r="DU23" s="446">
        <f t="shared" si="44"/>
        <v>0</v>
      </c>
      <c r="DV23" s="446">
        <f t="shared" si="44"/>
        <v>0</v>
      </c>
      <c r="DW23" s="446">
        <f t="shared" si="44"/>
        <v>0</v>
      </c>
      <c r="DX23" s="446">
        <f t="shared" si="44"/>
        <v>0</v>
      </c>
      <c r="DY23" s="446">
        <f t="shared" si="44"/>
        <v>0</v>
      </c>
      <c r="DZ23" s="446">
        <f t="shared" si="44"/>
        <v>0</v>
      </c>
      <c r="EA23" s="446">
        <f t="shared" si="44"/>
        <v>0</v>
      </c>
      <c r="EB23" s="446">
        <f t="shared" si="44"/>
        <v>0</v>
      </c>
      <c r="EC23" s="446">
        <f t="shared" si="44"/>
        <v>0</v>
      </c>
      <c r="ED23" s="446">
        <f t="shared" si="44"/>
        <v>0</v>
      </c>
      <c r="EE23" s="446">
        <f t="shared" si="44"/>
        <v>0</v>
      </c>
      <c r="EF23" s="446">
        <f t="shared" si="44"/>
        <v>0</v>
      </c>
      <c r="EG23" s="446">
        <f t="shared" si="44"/>
        <v>0</v>
      </c>
      <c r="EH23" s="446">
        <f t="shared" si="44"/>
        <v>0</v>
      </c>
      <c r="EI23" s="446">
        <f t="shared" si="44"/>
        <v>0</v>
      </c>
      <c r="EJ23" s="446">
        <f t="shared" si="44"/>
        <v>0</v>
      </c>
      <c r="EK23" s="446">
        <f t="shared" si="42"/>
        <v>0</v>
      </c>
      <c r="EL23" s="446">
        <f t="shared" si="40"/>
        <v>0</v>
      </c>
      <c r="EM23" s="446">
        <f t="shared" si="40"/>
        <v>0</v>
      </c>
      <c r="EN23" s="446">
        <f t="shared" si="40"/>
        <v>0</v>
      </c>
      <c r="EO23" s="446">
        <f t="shared" si="40"/>
        <v>0</v>
      </c>
      <c r="EP23" s="446">
        <f t="shared" si="40"/>
        <v>0</v>
      </c>
      <c r="EQ23" s="446">
        <f t="shared" si="40"/>
        <v>0</v>
      </c>
      <c r="ER23" s="446">
        <f t="shared" si="40"/>
        <v>0</v>
      </c>
      <c r="ES23" s="446">
        <f t="shared" si="40"/>
        <v>0</v>
      </c>
      <c r="ET23" s="446">
        <f t="shared" si="40"/>
        <v>0</v>
      </c>
      <c r="EU23" s="446">
        <f t="shared" si="40"/>
        <v>0</v>
      </c>
      <c r="EV23" s="446">
        <f t="shared" si="40"/>
        <v>0</v>
      </c>
      <c r="EW23" s="446">
        <f t="shared" si="40"/>
        <v>0</v>
      </c>
      <c r="EX23" s="446">
        <f t="shared" si="40"/>
        <v>0</v>
      </c>
      <c r="EY23" s="446">
        <f t="shared" si="40"/>
        <v>0</v>
      </c>
      <c r="EZ23" s="446">
        <f t="shared" si="40"/>
        <v>0</v>
      </c>
      <c r="FA23" s="446">
        <f t="shared" si="40"/>
        <v>0</v>
      </c>
      <c r="FB23" s="446">
        <f t="shared" si="40"/>
        <v>0</v>
      </c>
      <c r="FC23" s="446">
        <f t="shared" si="40"/>
        <v>0</v>
      </c>
      <c r="FD23" s="446">
        <f t="shared" si="40"/>
        <v>0</v>
      </c>
      <c r="FE23" s="446">
        <f t="shared" si="40"/>
        <v>0</v>
      </c>
      <c r="FF23" s="446">
        <f t="shared" si="40"/>
        <v>0</v>
      </c>
      <c r="FG23" s="446">
        <f t="shared" si="40"/>
        <v>0</v>
      </c>
      <c r="FH23" s="446">
        <f t="shared" si="40"/>
        <v>0</v>
      </c>
      <c r="FI23" s="446">
        <f t="shared" si="40"/>
        <v>0</v>
      </c>
      <c r="FJ23" s="446">
        <f t="shared" si="40"/>
        <v>0</v>
      </c>
      <c r="FK23" s="446">
        <f t="shared" si="40"/>
        <v>0</v>
      </c>
      <c r="FL23" s="446">
        <f t="shared" si="40"/>
        <v>0</v>
      </c>
      <c r="FM23" s="446">
        <f>SUM(טבלה8[[#This Row],[1]:[156]])</f>
        <v>0</v>
      </c>
      <c r="FN23" s="447">
        <f>CEILING(טבלה8[[#This Row],[סה"כ]],50)</f>
        <v>0</v>
      </c>
      <c r="FO23" s="554" t="str">
        <f>טבלה8[[#This Row],[מוצר]]</f>
        <v>שקיות גופייה להכנת הקיט</v>
      </c>
      <c r="FP23" s="554"/>
      <c r="FR23" s="452" t="s">
        <v>692</v>
      </c>
    </row>
    <row r="24" spans="1:174" ht="16.5" customHeight="1">
      <c r="A24" s="440" t="s">
        <v>683</v>
      </c>
      <c r="B24" s="440">
        <v>18</v>
      </c>
      <c r="C24" s="440" t="s">
        <v>577</v>
      </c>
      <c r="D24" s="427" t="e">
        <f>SUMIF([2]!טבלה21[מקט],C24,[2]!טבלה21[מחיר ליח''])</f>
        <v>#REF!</v>
      </c>
      <c r="E24" s="440">
        <v>1</v>
      </c>
      <c r="F24" s="427" t="e">
        <f t="shared" si="33"/>
        <v>#REF!</v>
      </c>
      <c r="G24" s="441">
        <v>0.17</v>
      </c>
      <c r="H24" s="442" t="e">
        <f t="shared" si="1"/>
        <v>#REF!</v>
      </c>
      <c r="I24" s="443" t="e">
        <f t="shared" si="2"/>
        <v>#REF!</v>
      </c>
      <c r="J24" s="440" t="s">
        <v>140</v>
      </c>
      <c r="K24" s="444" t="s">
        <v>693</v>
      </c>
      <c r="L24" s="445">
        <v>2</v>
      </c>
      <c r="M24" s="446">
        <f t="shared" si="34"/>
        <v>0</v>
      </c>
      <c r="N24" s="446">
        <f t="shared" si="35"/>
        <v>0</v>
      </c>
      <c r="O24" s="446">
        <f t="shared" si="35"/>
        <v>0</v>
      </c>
      <c r="P24" s="446">
        <f t="shared" si="35"/>
        <v>0</v>
      </c>
      <c r="Q24" s="446">
        <f t="shared" si="35"/>
        <v>0</v>
      </c>
      <c r="R24" s="446">
        <f t="shared" si="43"/>
        <v>0</v>
      </c>
      <c r="S24" s="446">
        <f t="shared" si="43"/>
        <v>0</v>
      </c>
      <c r="T24" s="446">
        <f t="shared" si="43"/>
        <v>0</v>
      </c>
      <c r="U24" s="446">
        <f t="shared" si="43"/>
        <v>0</v>
      </c>
      <c r="V24" s="446">
        <f t="shared" si="43"/>
        <v>0</v>
      </c>
      <c r="W24" s="446">
        <f t="shared" si="43"/>
        <v>0</v>
      </c>
      <c r="X24" s="446">
        <f t="shared" si="43"/>
        <v>0</v>
      </c>
      <c r="Y24" s="446">
        <f t="shared" si="43"/>
        <v>0</v>
      </c>
      <c r="Z24" s="446">
        <f t="shared" si="43"/>
        <v>0</v>
      </c>
      <c r="AA24" s="446">
        <f t="shared" si="43"/>
        <v>0</v>
      </c>
      <c r="AB24" s="446">
        <f t="shared" si="43"/>
        <v>0</v>
      </c>
      <c r="AC24" s="446">
        <f t="shared" si="43"/>
        <v>0</v>
      </c>
      <c r="AD24" s="446">
        <f t="shared" si="43"/>
        <v>0</v>
      </c>
      <c r="AE24" s="446">
        <f t="shared" si="43"/>
        <v>0</v>
      </c>
      <c r="AF24" s="446">
        <f t="shared" si="43"/>
        <v>0</v>
      </c>
      <c r="AG24" s="446">
        <f t="shared" si="43"/>
        <v>0</v>
      </c>
      <c r="AH24" s="446">
        <f t="shared" si="43"/>
        <v>0</v>
      </c>
      <c r="AI24" s="446">
        <f t="shared" si="43"/>
        <v>0</v>
      </c>
      <c r="AJ24" s="446">
        <f t="shared" si="43"/>
        <v>0</v>
      </c>
      <c r="AK24" s="446">
        <f t="shared" si="43"/>
        <v>0</v>
      </c>
      <c r="AL24" s="446">
        <f t="shared" si="43"/>
        <v>0</v>
      </c>
      <c r="AM24" s="446">
        <f t="shared" si="43"/>
        <v>0</v>
      </c>
      <c r="AN24" s="446">
        <f t="shared" si="43"/>
        <v>0</v>
      </c>
      <c r="AO24" s="446">
        <f t="shared" si="43"/>
        <v>0</v>
      </c>
      <c r="AP24" s="446">
        <f t="shared" si="43"/>
        <v>0</v>
      </c>
      <c r="AQ24" s="446">
        <f t="shared" si="43"/>
        <v>0</v>
      </c>
      <c r="AR24" s="446">
        <f t="shared" si="43"/>
        <v>0</v>
      </c>
      <c r="AS24" s="446">
        <f t="shared" si="43"/>
        <v>0</v>
      </c>
      <c r="AT24" s="446">
        <f t="shared" si="43"/>
        <v>0</v>
      </c>
      <c r="AU24" s="446">
        <f t="shared" si="43"/>
        <v>0</v>
      </c>
      <c r="AV24" s="446">
        <f t="shared" si="43"/>
        <v>0</v>
      </c>
      <c r="AW24" s="446">
        <f t="shared" si="43"/>
        <v>0</v>
      </c>
      <c r="AX24" s="446">
        <f t="shared" si="43"/>
        <v>0</v>
      </c>
      <c r="AY24" s="446">
        <f t="shared" si="43"/>
        <v>0</v>
      </c>
      <c r="AZ24" s="446">
        <f t="shared" si="37"/>
        <v>0</v>
      </c>
      <c r="BA24" s="446">
        <f t="shared" si="37"/>
        <v>0</v>
      </c>
      <c r="BB24" s="446">
        <f t="shared" si="38"/>
        <v>0</v>
      </c>
      <c r="BC24" s="446">
        <f t="shared" si="38"/>
        <v>0</v>
      </c>
      <c r="BD24" s="446">
        <f t="shared" si="38"/>
        <v>0</v>
      </c>
      <c r="BE24" s="446">
        <f t="shared" si="38"/>
        <v>0</v>
      </c>
      <c r="BF24" s="446">
        <f t="shared" si="38"/>
        <v>0</v>
      </c>
      <c r="BG24" s="446">
        <f t="shared" si="38"/>
        <v>0</v>
      </c>
      <c r="BH24" s="446">
        <f t="shared" si="38"/>
        <v>0</v>
      </c>
      <c r="BI24" s="638">
        <f t="shared" si="43"/>
        <v>0</v>
      </c>
      <c r="BJ24" s="446">
        <f t="shared" si="43"/>
        <v>0</v>
      </c>
      <c r="BK24" s="446">
        <f t="shared" si="43"/>
        <v>0</v>
      </c>
      <c r="BL24" s="446">
        <f t="shared" si="43"/>
        <v>0</v>
      </c>
      <c r="BM24" s="446">
        <f t="shared" si="43"/>
        <v>0</v>
      </c>
      <c r="BN24" s="446">
        <f t="shared" si="43"/>
        <v>0</v>
      </c>
      <c r="BO24" s="446">
        <f t="shared" si="43"/>
        <v>0</v>
      </c>
      <c r="BP24" s="446">
        <f t="shared" si="43"/>
        <v>0</v>
      </c>
      <c r="BQ24" s="446">
        <f t="shared" si="43"/>
        <v>0</v>
      </c>
      <c r="BR24" s="446">
        <f t="shared" si="43"/>
        <v>0</v>
      </c>
      <c r="BS24" s="446">
        <f t="shared" si="43"/>
        <v>0</v>
      </c>
      <c r="BT24" s="446">
        <f t="shared" si="43"/>
        <v>0</v>
      </c>
      <c r="BU24" s="446">
        <f t="shared" si="43"/>
        <v>0</v>
      </c>
      <c r="BV24" s="446">
        <f t="shared" si="43"/>
        <v>0</v>
      </c>
      <c r="BW24" s="446">
        <f t="shared" si="43"/>
        <v>0</v>
      </c>
      <c r="BX24" s="446">
        <f t="shared" si="43"/>
        <v>0</v>
      </c>
      <c r="BY24" s="446">
        <f t="shared" si="41"/>
        <v>0</v>
      </c>
      <c r="BZ24" s="446">
        <f t="shared" si="41"/>
        <v>0</v>
      </c>
      <c r="CA24" s="446">
        <f t="shared" si="41"/>
        <v>0</v>
      </c>
      <c r="CB24" s="446">
        <f t="shared" si="41"/>
        <v>0</v>
      </c>
      <c r="CC24" s="446">
        <f t="shared" si="41"/>
        <v>0</v>
      </c>
      <c r="CD24" s="446">
        <f t="shared" si="41"/>
        <v>0</v>
      </c>
      <c r="CE24" s="446">
        <f t="shared" si="41"/>
        <v>0</v>
      </c>
      <c r="CF24" s="446">
        <f t="shared" si="41"/>
        <v>0</v>
      </c>
      <c r="CG24" s="446">
        <f t="shared" si="41"/>
        <v>0</v>
      </c>
      <c r="CH24" s="446">
        <f t="shared" si="41"/>
        <v>0</v>
      </c>
      <c r="CI24" s="446">
        <f t="shared" si="41"/>
        <v>0</v>
      </c>
      <c r="CJ24" s="446">
        <f t="shared" si="41"/>
        <v>0</v>
      </c>
      <c r="CK24" s="446">
        <f t="shared" si="41"/>
        <v>0</v>
      </c>
      <c r="CL24" s="446">
        <f t="shared" si="41"/>
        <v>0</v>
      </c>
      <c r="CM24" s="446">
        <f t="shared" si="41"/>
        <v>0</v>
      </c>
      <c r="CN24" s="446">
        <f t="shared" si="41"/>
        <v>0</v>
      </c>
      <c r="CO24" s="446">
        <f t="shared" si="41"/>
        <v>0</v>
      </c>
      <c r="CP24" s="446">
        <f t="shared" si="41"/>
        <v>0</v>
      </c>
      <c r="CQ24" s="446">
        <f t="shared" si="41"/>
        <v>0</v>
      </c>
      <c r="CR24" s="446">
        <f t="shared" si="41"/>
        <v>0</v>
      </c>
      <c r="CS24" s="446">
        <f t="shared" si="41"/>
        <v>0</v>
      </c>
      <c r="CT24" s="446">
        <f t="shared" si="41"/>
        <v>0</v>
      </c>
      <c r="CU24" s="446">
        <f t="shared" si="41"/>
        <v>0</v>
      </c>
      <c r="CV24" s="446">
        <f t="shared" si="41"/>
        <v>0</v>
      </c>
      <c r="CW24" s="446">
        <f t="shared" si="41"/>
        <v>0</v>
      </c>
      <c r="CX24" s="446">
        <f t="shared" si="41"/>
        <v>0</v>
      </c>
      <c r="CY24" s="446">
        <f t="shared" si="41"/>
        <v>0</v>
      </c>
      <c r="CZ24" s="446">
        <f t="shared" si="41"/>
        <v>0</v>
      </c>
      <c r="DA24" s="446">
        <f t="shared" si="41"/>
        <v>0</v>
      </c>
      <c r="DB24" s="446">
        <f t="shared" si="41"/>
        <v>0</v>
      </c>
      <c r="DC24" s="446">
        <f t="shared" si="41"/>
        <v>0</v>
      </c>
      <c r="DD24" s="446">
        <f t="shared" si="41"/>
        <v>0</v>
      </c>
      <c r="DE24" s="446">
        <f t="shared" si="44"/>
        <v>0</v>
      </c>
      <c r="DF24" s="446">
        <f t="shared" si="44"/>
        <v>0</v>
      </c>
      <c r="DG24" s="446">
        <f t="shared" si="44"/>
        <v>0</v>
      </c>
      <c r="DH24" s="446">
        <f t="shared" si="44"/>
        <v>0</v>
      </c>
      <c r="DI24" s="446">
        <f t="shared" si="44"/>
        <v>0</v>
      </c>
      <c r="DJ24" s="446">
        <f t="shared" si="44"/>
        <v>0</v>
      </c>
      <c r="DK24" s="446">
        <f t="shared" si="44"/>
        <v>0</v>
      </c>
      <c r="DL24" s="446">
        <f t="shared" si="44"/>
        <v>0</v>
      </c>
      <c r="DM24" s="446">
        <f t="shared" si="44"/>
        <v>0</v>
      </c>
      <c r="DN24" s="446">
        <f t="shared" si="44"/>
        <v>0</v>
      </c>
      <c r="DO24" s="446">
        <f t="shared" si="44"/>
        <v>0</v>
      </c>
      <c r="DP24" s="446">
        <f t="shared" si="44"/>
        <v>0</v>
      </c>
      <c r="DQ24" s="446">
        <f t="shared" si="44"/>
        <v>0</v>
      </c>
      <c r="DR24" s="446">
        <f t="shared" si="44"/>
        <v>0</v>
      </c>
      <c r="DS24" s="446">
        <f t="shared" si="44"/>
        <v>0</v>
      </c>
      <c r="DT24" s="446">
        <f t="shared" si="44"/>
        <v>0</v>
      </c>
      <c r="DU24" s="446">
        <f t="shared" si="44"/>
        <v>0</v>
      </c>
      <c r="DV24" s="446">
        <f t="shared" si="44"/>
        <v>0</v>
      </c>
      <c r="DW24" s="446">
        <f t="shared" si="44"/>
        <v>0</v>
      </c>
      <c r="DX24" s="446">
        <f t="shared" si="44"/>
        <v>0</v>
      </c>
      <c r="DY24" s="446">
        <f t="shared" si="44"/>
        <v>0</v>
      </c>
      <c r="DZ24" s="446">
        <f t="shared" si="44"/>
        <v>0</v>
      </c>
      <c r="EA24" s="446">
        <f t="shared" si="44"/>
        <v>0</v>
      </c>
      <c r="EB24" s="446">
        <f t="shared" si="44"/>
        <v>0</v>
      </c>
      <c r="EC24" s="446">
        <f t="shared" si="44"/>
        <v>0</v>
      </c>
      <c r="ED24" s="446">
        <f t="shared" si="44"/>
        <v>0</v>
      </c>
      <c r="EE24" s="446">
        <f t="shared" si="44"/>
        <v>0</v>
      </c>
      <c r="EF24" s="446">
        <f t="shared" si="44"/>
        <v>0</v>
      </c>
      <c r="EG24" s="446">
        <f t="shared" si="44"/>
        <v>0</v>
      </c>
      <c r="EH24" s="446">
        <f t="shared" si="44"/>
        <v>0</v>
      </c>
      <c r="EI24" s="446">
        <f t="shared" si="44"/>
        <v>0</v>
      </c>
      <c r="EJ24" s="446">
        <f t="shared" si="44"/>
        <v>0</v>
      </c>
      <c r="EK24" s="446">
        <f t="shared" si="42"/>
        <v>0</v>
      </c>
      <c r="EL24" s="446">
        <f t="shared" si="40"/>
        <v>0</v>
      </c>
      <c r="EM24" s="446">
        <f t="shared" si="40"/>
        <v>0</v>
      </c>
      <c r="EN24" s="446">
        <f t="shared" si="40"/>
        <v>0</v>
      </c>
      <c r="EO24" s="446">
        <f t="shared" si="40"/>
        <v>0</v>
      </c>
      <c r="EP24" s="446">
        <f t="shared" si="40"/>
        <v>0</v>
      </c>
      <c r="EQ24" s="446">
        <f t="shared" si="40"/>
        <v>0</v>
      </c>
      <c r="ER24" s="446">
        <f t="shared" si="40"/>
        <v>0</v>
      </c>
      <c r="ES24" s="446">
        <f t="shared" si="40"/>
        <v>0</v>
      </c>
      <c r="ET24" s="446">
        <f t="shared" si="40"/>
        <v>0</v>
      </c>
      <c r="EU24" s="446">
        <f t="shared" si="40"/>
        <v>0</v>
      </c>
      <c r="EV24" s="446">
        <f t="shared" si="40"/>
        <v>0</v>
      </c>
      <c r="EW24" s="446">
        <f t="shared" si="40"/>
        <v>0</v>
      </c>
      <c r="EX24" s="446">
        <f t="shared" si="40"/>
        <v>0</v>
      </c>
      <c r="EY24" s="446">
        <f t="shared" si="40"/>
        <v>0</v>
      </c>
      <c r="EZ24" s="446">
        <f t="shared" si="40"/>
        <v>0</v>
      </c>
      <c r="FA24" s="446">
        <f t="shared" si="40"/>
        <v>0</v>
      </c>
      <c r="FB24" s="446">
        <f t="shared" si="40"/>
        <v>0</v>
      </c>
      <c r="FC24" s="446">
        <f t="shared" si="40"/>
        <v>0</v>
      </c>
      <c r="FD24" s="446">
        <f t="shared" si="40"/>
        <v>0</v>
      </c>
      <c r="FE24" s="446">
        <f t="shared" si="40"/>
        <v>0</v>
      </c>
      <c r="FF24" s="446">
        <f t="shared" si="40"/>
        <v>0</v>
      </c>
      <c r="FG24" s="446">
        <f t="shared" si="40"/>
        <v>0</v>
      </c>
      <c r="FH24" s="446">
        <f t="shared" si="40"/>
        <v>0</v>
      </c>
      <c r="FI24" s="446">
        <f t="shared" si="40"/>
        <v>0</v>
      </c>
      <c r="FJ24" s="446">
        <f t="shared" si="40"/>
        <v>0</v>
      </c>
      <c r="FK24" s="446">
        <f t="shared" si="40"/>
        <v>0</v>
      </c>
      <c r="FL24" s="446">
        <f t="shared" si="40"/>
        <v>0</v>
      </c>
      <c r="FM24" s="446">
        <f>SUM(טבלה8[[#This Row],[1]:[156]])</f>
        <v>0</v>
      </c>
      <c r="FN24" s="447">
        <f>CEILING(טבלה8[[#This Row],[סה"כ]],25)</f>
        <v>0</v>
      </c>
      <c r="FO24" s="554" t="str">
        <f>טבלה8[[#This Row],[מוצר]]</f>
        <v xml:space="preserve">שקית זבל </v>
      </c>
      <c r="FP24" s="554"/>
    </row>
    <row r="25" spans="1:174" s="219" customFormat="1" ht="16.5" customHeight="1">
      <c r="A25" s="440" t="s">
        <v>612</v>
      </c>
      <c r="B25" s="440">
        <v>19</v>
      </c>
      <c r="C25" s="440">
        <v>8127</v>
      </c>
      <c r="D25" s="427" t="e">
        <f>SUMIF([2]!טבלה6[קוד מוצר],C25,[2]!טבלה6[מחיר לקוח])</f>
        <v>#REF!</v>
      </c>
      <c r="E25" s="440">
        <v>1</v>
      </c>
      <c r="F25" s="427" t="e">
        <f t="shared" si="33"/>
        <v>#REF!</v>
      </c>
      <c r="G25" s="441">
        <v>0.17</v>
      </c>
      <c r="H25" s="442" t="e">
        <f t="shared" si="1"/>
        <v>#REF!</v>
      </c>
      <c r="I25" s="443" t="e">
        <f t="shared" si="2"/>
        <v>#REF!</v>
      </c>
      <c r="J25" s="440" t="s">
        <v>78</v>
      </c>
      <c r="K25" s="444" t="s">
        <v>694</v>
      </c>
      <c r="L25" s="450">
        <f>1/1</f>
        <v>1</v>
      </c>
      <c r="M25" s="446">
        <f t="shared" ref="M25:Q26" si="45">ROUNDUP($L25*M$6,0)</f>
        <v>0</v>
      </c>
      <c r="N25" s="446">
        <f t="shared" si="45"/>
        <v>0</v>
      </c>
      <c r="O25" s="446">
        <f t="shared" si="45"/>
        <v>0</v>
      </c>
      <c r="P25" s="446">
        <f t="shared" si="45"/>
        <v>0</v>
      </c>
      <c r="Q25" s="446">
        <f t="shared" si="45"/>
        <v>0</v>
      </c>
      <c r="R25" s="446">
        <f t="shared" ref="R25:BY26" si="46">ROUNDUP($L25*R$6,0)</f>
        <v>0</v>
      </c>
      <c r="S25" s="446">
        <f t="shared" si="46"/>
        <v>0</v>
      </c>
      <c r="T25" s="446">
        <f t="shared" si="46"/>
        <v>0</v>
      </c>
      <c r="U25" s="446">
        <f t="shared" si="46"/>
        <v>0</v>
      </c>
      <c r="V25" s="446">
        <f t="shared" si="46"/>
        <v>0</v>
      </c>
      <c r="W25" s="446">
        <f t="shared" si="46"/>
        <v>0</v>
      </c>
      <c r="X25" s="446">
        <f t="shared" si="46"/>
        <v>0</v>
      </c>
      <c r="Y25" s="446">
        <f t="shared" si="46"/>
        <v>0</v>
      </c>
      <c r="Z25" s="446">
        <f t="shared" si="46"/>
        <v>0</v>
      </c>
      <c r="AA25" s="446">
        <f t="shared" si="46"/>
        <v>0</v>
      </c>
      <c r="AB25" s="446">
        <f t="shared" si="46"/>
        <v>0</v>
      </c>
      <c r="AC25" s="446">
        <f t="shared" si="46"/>
        <v>0</v>
      </c>
      <c r="AD25" s="446">
        <f t="shared" si="46"/>
        <v>0</v>
      </c>
      <c r="AE25" s="446">
        <f t="shared" si="46"/>
        <v>0</v>
      </c>
      <c r="AF25" s="446">
        <f t="shared" si="46"/>
        <v>0</v>
      </c>
      <c r="AG25" s="446">
        <f t="shared" si="46"/>
        <v>0</v>
      </c>
      <c r="AH25" s="446">
        <f t="shared" si="46"/>
        <v>0</v>
      </c>
      <c r="AI25" s="446">
        <f t="shared" si="46"/>
        <v>0</v>
      </c>
      <c r="AJ25" s="446">
        <f t="shared" si="46"/>
        <v>0</v>
      </c>
      <c r="AK25" s="446">
        <f t="shared" si="46"/>
        <v>0</v>
      </c>
      <c r="AL25" s="446">
        <f t="shared" si="46"/>
        <v>0</v>
      </c>
      <c r="AM25" s="446">
        <f t="shared" si="46"/>
        <v>0</v>
      </c>
      <c r="AN25" s="446">
        <f t="shared" si="46"/>
        <v>0</v>
      </c>
      <c r="AO25" s="446">
        <f t="shared" si="46"/>
        <v>0</v>
      </c>
      <c r="AP25" s="446">
        <f t="shared" si="46"/>
        <v>0</v>
      </c>
      <c r="AQ25" s="446">
        <f t="shared" si="46"/>
        <v>0</v>
      </c>
      <c r="AR25" s="446">
        <f t="shared" si="46"/>
        <v>0</v>
      </c>
      <c r="AS25" s="446">
        <f t="shared" si="46"/>
        <v>0</v>
      </c>
      <c r="AT25" s="446">
        <f t="shared" si="46"/>
        <v>0</v>
      </c>
      <c r="AU25" s="446">
        <f t="shared" si="46"/>
        <v>0</v>
      </c>
      <c r="AV25" s="446">
        <f t="shared" si="46"/>
        <v>0</v>
      </c>
      <c r="AW25" s="446">
        <f t="shared" si="46"/>
        <v>0</v>
      </c>
      <c r="AX25" s="446">
        <f t="shared" si="46"/>
        <v>0</v>
      </c>
      <c r="AY25" s="446">
        <f t="shared" si="46"/>
        <v>0</v>
      </c>
      <c r="AZ25" s="446">
        <f t="shared" si="46"/>
        <v>0</v>
      </c>
      <c r="BA25" s="446">
        <f t="shared" si="46"/>
        <v>0</v>
      </c>
      <c r="BB25" s="446">
        <f t="shared" ref="BB25:BH26" si="47">ROUNDUP($L25*BB$6,0)</f>
        <v>0</v>
      </c>
      <c r="BC25" s="446">
        <f t="shared" si="47"/>
        <v>0</v>
      </c>
      <c r="BD25" s="446">
        <f t="shared" si="47"/>
        <v>0</v>
      </c>
      <c r="BE25" s="446">
        <f t="shared" si="47"/>
        <v>0</v>
      </c>
      <c r="BF25" s="446">
        <f t="shared" si="47"/>
        <v>0</v>
      </c>
      <c r="BG25" s="446">
        <f t="shared" si="47"/>
        <v>0</v>
      </c>
      <c r="BH25" s="446">
        <f t="shared" si="47"/>
        <v>0</v>
      </c>
      <c r="BI25" s="638">
        <f t="shared" si="46"/>
        <v>0</v>
      </c>
      <c r="BJ25" s="446">
        <f t="shared" si="46"/>
        <v>0</v>
      </c>
      <c r="BK25" s="446">
        <f t="shared" si="46"/>
        <v>0</v>
      </c>
      <c r="BL25" s="446">
        <f t="shared" si="46"/>
        <v>0</v>
      </c>
      <c r="BM25" s="446">
        <f t="shared" si="46"/>
        <v>0</v>
      </c>
      <c r="BN25" s="446">
        <f t="shared" si="46"/>
        <v>0</v>
      </c>
      <c r="BO25" s="446">
        <f t="shared" si="46"/>
        <v>0</v>
      </c>
      <c r="BP25" s="446">
        <f t="shared" si="46"/>
        <v>0</v>
      </c>
      <c r="BQ25" s="446">
        <f t="shared" si="46"/>
        <v>0</v>
      </c>
      <c r="BR25" s="446">
        <f t="shared" si="46"/>
        <v>0</v>
      </c>
      <c r="BS25" s="446">
        <f t="shared" si="46"/>
        <v>0</v>
      </c>
      <c r="BT25" s="446">
        <f t="shared" si="46"/>
        <v>0</v>
      </c>
      <c r="BU25" s="446">
        <f t="shared" si="46"/>
        <v>0</v>
      </c>
      <c r="BV25" s="446">
        <f t="shared" si="46"/>
        <v>0</v>
      </c>
      <c r="BW25" s="446">
        <f t="shared" si="46"/>
        <v>0</v>
      </c>
      <c r="BX25" s="446">
        <f t="shared" si="46"/>
        <v>0</v>
      </c>
      <c r="BY25" s="446">
        <f t="shared" si="46"/>
        <v>0</v>
      </c>
      <c r="BZ25" s="446">
        <f t="shared" ref="BZ25:EK26" si="48">ROUNDUP($L25*BZ$6,0)</f>
        <v>0</v>
      </c>
      <c r="CA25" s="446">
        <f t="shared" si="48"/>
        <v>0</v>
      </c>
      <c r="CB25" s="446">
        <f t="shared" si="48"/>
        <v>0</v>
      </c>
      <c r="CC25" s="446">
        <f t="shared" si="48"/>
        <v>0</v>
      </c>
      <c r="CD25" s="446">
        <f t="shared" si="48"/>
        <v>0</v>
      </c>
      <c r="CE25" s="446">
        <f t="shared" si="48"/>
        <v>0</v>
      </c>
      <c r="CF25" s="446">
        <f t="shared" si="48"/>
        <v>0</v>
      </c>
      <c r="CG25" s="446">
        <f t="shared" si="48"/>
        <v>0</v>
      </c>
      <c r="CH25" s="446">
        <f t="shared" si="48"/>
        <v>0</v>
      </c>
      <c r="CI25" s="446">
        <f t="shared" si="48"/>
        <v>0</v>
      </c>
      <c r="CJ25" s="446">
        <f t="shared" si="48"/>
        <v>0</v>
      </c>
      <c r="CK25" s="446">
        <f t="shared" si="48"/>
        <v>0</v>
      </c>
      <c r="CL25" s="446">
        <f t="shared" si="48"/>
        <v>0</v>
      </c>
      <c r="CM25" s="446">
        <f t="shared" si="48"/>
        <v>0</v>
      </c>
      <c r="CN25" s="446">
        <f t="shared" si="48"/>
        <v>0</v>
      </c>
      <c r="CO25" s="446">
        <f t="shared" si="48"/>
        <v>0</v>
      </c>
      <c r="CP25" s="446">
        <f t="shared" si="48"/>
        <v>0</v>
      </c>
      <c r="CQ25" s="446">
        <f t="shared" si="48"/>
        <v>0</v>
      </c>
      <c r="CR25" s="446">
        <f t="shared" si="48"/>
        <v>0</v>
      </c>
      <c r="CS25" s="446">
        <f t="shared" si="48"/>
        <v>0</v>
      </c>
      <c r="CT25" s="446">
        <f t="shared" si="48"/>
        <v>0</v>
      </c>
      <c r="CU25" s="446">
        <f t="shared" si="48"/>
        <v>0</v>
      </c>
      <c r="CV25" s="446">
        <f t="shared" si="48"/>
        <v>0</v>
      </c>
      <c r="CW25" s="446">
        <f t="shared" si="48"/>
        <v>0</v>
      </c>
      <c r="CX25" s="446">
        <f t="shared" si="48"/>
        <v>0</v>
      </c>
      <c r="CY25" s="446">
        <f t="shared" si="48"/>
        <v>0</v>
      </c>
      <c r="CZ25" s="446">
        <f t="shared" si="48"/>
        <v>0</v>
      </c>
      <c r="DA25" s="446">
        <f t="shared" si="48"/>
        <v>0</v>
      </c>
      <c r="DB25" s="446">
        <f t="shared" si="48"/>
        <v>0</v>
      </c>
      <c r="DC25" s="446">
        <f t="shared" si="48"/>
        <v>0</v>
      </c>
      <c r="DD25" s="446">
        <f t="shared" si="48"/>
        <v>0</v>
      </c>
      <c r="DE25" s="446">
        <f t="shared" si="48"/>
        <v>0</v>
      </c>
      <c r="DF25" s="446">
        <f t="shared" si="48"/>
        <v>0</v>
      </c>
      <c r="DG25" s="446">
        <f t="shared" si="48"/>
        <v>0</v>
      </c>
      <c r="DH25" s="446">
        <f t="shared" si="48"/>
        <v>0</v>
      </c>
      <c r="DI25" s="446">
        <f t="shared" si="48"/>
        <v>0</v>
      </c>
      <c r="DJ25" s="446">
        <f t="shared" si="48"/>
        <v>0</v>
      </c>
      <c r="DK25" s="446">
        <f t="shared" si="48"/>
        <v>0</v>
      </c>
      <c r="DL25" s="446">
        <f t="shared" si="48"/>
        <v>0</v>
      </c>
      <c r="DM25" s="446">
        <f t="shared" si="48"/>
        <v>0</v>
      </c>
      <c r="DN25" s="446">
        <f t="shared" si="48"/>
        <v>0</v>
      </c>
      <c r="DO25" s="446">
        <f t="shared" si="48"/>
        <v>0</v>
      </c>
      <c r="DP25" s="446">
        <f t="shared" si="48"/>
        <v>0</v>
      </c>
      <c r="DQ25" s="446">
        <f t="shared" si="48"/>
        <v>0</v>
      </c>
      <c r="DR25" s="446">
        <f t="shared" si="48"/>
        <v>0</v>
      </c>
      <c r="DS25" s="446">
        <f t="shared" si="48"/>
        <v>0</v>
      </c>
      <c r="DT25" s="446">
        <f t="shared" si="48"/>
        <v>0</v>
      </c>
      <c r="DU25" s="446">
        <f t="shared" si="48"/>
        <v>0</v>
      </c>
      <c r="DV25" s="446">
        <f t="shared" si="48"/>
        <v>0</v>
      </c>
      <c r="DW25" s="446">
        <f t="shared" si="48"/>
        <v>0</v>
      </c>
      <c r="DX25" s="446">
        <f t="shared" si="48"/>
        <v>0</v>
      </c>
      <c r="DY25" s="446">
        <f t="shared" si="48"/>
        <v>0</v>
      </c>
      <c r="DZ25" s="446">
        <f t="shared" si="48"/>
        <v>0</v>
      </c>
      <c r="EA25" s="446">
        <f t="shared" si="48"/>
        <v>0</v>
      </c>
      <c r="EB25" s="446">
        <f t="shared" si="48"/>
        <v>0</v>
      </c>
      <c r="EC25" s="446">
        <f t="shared" si="48"/>
        <v>0</v>
      </c>
      <c r="ED25" s="446">
        <f t="shared" si="48"/>
        <v>0</v>
      </c>
      <c r="EE25" s="446">
        <f t="shared" si="48"/>
        <v>0</v>
      </c>
      <c r="EF25" s="446">
        <f t="shared" si="48"/>
        <v>0</v>
      </c>
      <c r="EG25" s="446">
        <f t="shared" si="48"/>
        <v>0</v>
      </c>
      <c r="EH25" s="446">
        <f t="shared" si="48"/>
        <v>0</v>
      </c>
      <c r="EI25" s="446">
        <f t="shared" si="48"/>
        <v>0</v>
      </c>
      <c r="EJ25" s="446">
        <f t="shared" si="48"/>
        <v>0</v>
      </c>
      <c r="EK25" s="446">
        <f t="shared" si="48"/>
        <v>0</v>
      </c>
      <c r="EL25" s="446">
        <f t="shared" ref="EL25:FL26" si="49">ROUNDUP($L25*EL$6,0)</f>
        <v>0</v>
      </c>
      <c r="EM25" s="446">
        <f t="shared" si="49"/>
        <v>0</v>
      </c>
      <c r="EN25" s="446">
        <f t="shared" si="49"/>
        <v>0</v>
      </c>
      <c r="EO25" s="446">
        <f t="shared" si="49"/>
        <v>0</v>
      </c>
      <c r="EP25" s="446">
        <f t="shared" si="49"/>
        <v>0</v>
      </c>
      <c r="EQ25" s="446">
        <f t="shared" si="49"/>
        <v>0</v>
      </c>
      <c r="ER25" s="446">
        <f t="shared" si="49"/>
        <v>0</v>
      </c>
      <c r="ES25" s="446">
        <f t="shared" si="49"/>
        <v>0</v>
      </c>
      <c r="ET25" s="446">
        <f t="shared" si="49"/>
        <v>0</v>
      </c>
      <c r="EU25" s="446">
        <f t="shared" si="49"/>
        <v>0</v>
      </c>
      <c r="EV25" s="446">
        <f t="shared" si="49"/>
        <v>0</v>
      </c>
      <c r="EW25" s="446">
        <f t="shared" si="49"/>
        <v>0</v>
      </c>
      <c r="EX25" s="446">
        <f t="shared" si="49"/>
        <v>0</v>
      </c>
      <c r="EY25" s="446">
        <f t="shared" si="49"/>
        <v>0</v>
      </c>
      <c r="EZ25" s="446">
        <f t="shared" si="49"/>
        <v>0</v>
      </c>
      <c r="FA25" s="446">
        <f t="shared" si="49"/>
        <v>0</v>
      </c>
      <c r="FB25" s="446">
        <f t="shared" si="49"/>
        <v>0</v>
      </c>
      <c r="FC25" s="446">
        <f t="shared" si="49"/>
        <v>0</v>
      </c>
      <c r="FD25" s="446">
        <f t="shared" si="49"/>
        <v>0</v>
      </c>
      <c r="FE25" s="446">
        <f t="shared" si="49"/>
        <v>0</v>
      </c>
      <c r="FF25" s="446">
        <f t="shared" si="49"/>
        <v>0</v>
      </c>
      <c r="FG25" s="446">
        <f t="shared" si="49"/>
        <v>0</v>
      </c>
      <c r="FH25" s="446">
        <f t="shared" si="49"/>
        <v>0</v>
      </c>
      <c r="FI25" s="446">
        <f t="shared" si="49"/>
        <v>0</v>
      </c>
      <c r="FJ25" s="446">
        <f t="shared" si="49"/>
        <v>0</v>
      </c>
      <c r="FK25" s="446">
        <f t="shared" si="49"/>
        <v>0</v>
      </c>
      <c r="FL25" s="446">
        <f t="shared" si="49"/>
        <v>0</v>
      </c>
      <c r="FM25" s="446">
        <f>SUM(טבלה8[[#This Row],[1]:[156]])</f>
        <v>0</v>
      </c>
      <c r="FN25" s="447">
        <f>טבלה8[[#This Row],[סה"כ]]</f>
        <v>0</v>
      </c>
      <c r="FO25" s="554" t="str">
        <f>טבלה8[[#This Row],[מוצר]]</f>
        <v>מעדן סויה</v>
      </c>
      <c r="FP25" s="554"/>
      <c r="FR25" s="222" t="s">
        <v>695</v>
      </c>
    </row>
    <row r="26" spans="1:174" ht="16.5" customHeight="1">
      <c r="A26" s="440" t="s">
        <v>612</v>
      </c>
      <c r="B26" s="440">
        <v>20</v>
      </c>
      <c r="C26" s="440">
        <v>6332</v>
      </c>
      <c r="D26" s="427" t="e">
        <f>SUMIF([2]!טבלה6[קוד מוצר],C26,[2]!טבלה6[מחיר לקוח])</f>
        <v>#REF!</v>
      </c>
      <c r="E26" s="440">
        <v>120</v>
      </c>
      <c r="F26" s="427" t="e">
        <f t="shared" si="33"/>
        <v>#REF!</v>
      </c>
      <c r="G26" s="441">
        <v>0.17</v>
      </c>
      <c r="H26" s="442" t="e">
        <f t="shared" si="1"/>
        <v>#REF!</v>
      </c>
      <c r="I26" s="443" t="e">
        <f t="shared" si="2"/>
        <v>#REF!</v>
      </c>
      <c r="J26" s="440" t="s">
        <v>446</v>
      </c>
      <c r="K26" s="444" t="s">
        <v>694</v>
      </c>
      <c r="L26" s="450">
        <f>1/1</f>
        <v>1</v>
      </c>
      <c r="M26" s="446">
        <f t="shared" si="45"/>
        <v>0</v>
      </c>
      <c r="N26" s="446">
        <f t="shared" si="45"/>
        <v>0</v>
      </c>
      <c r="O26" s="446">
        <f t="shared" si="45"/>
        <v>0</v>
      </c>
      <c r="P26" s="446">
        <f t="shared" si="45"/>
        <v>0</v>
      </c>
      <c r="Q26" s="446">
        <f t="shared" si="45"/>
        <v>0</v>
      </c>
      <c r="R26" s="446">
        <f t="shared" si="46"/>
        <v>0</v>
      </c>
      <c r="S26" s="446">
        <f t="shared" si="46"/>
        <v>0</v>
      </c>
      <c r="T26" s="446">
        <f t="shared" si="46"/>
        <v>0</v>
      </c>
      <c r="U26" s="446">
        <f t="shared" si="46"/>
        <v>0</v>
      </c>
      <c r="V26" s="446">
        <f t="shared" si="46"/>
        <v>0</v>
      </c>
      <c r="W26" s="446">
        <f t="shared" si="46"/>
        <v>0</v>
      </c>
      <c r="X26" s="446">
        <f t="shared" si="46"/>
        <v>0</v>
      </c>
      <c r="Y26" s="446">
        <f t="shared" si="46"/>
        <v>0</v>
      </c>
      <c r="Z26" s="446">
        <f t="shared" si="46"/>
        <v>0</v>
      </c>
      <c r="AA26" s="446">
        <f t="shared" si="46"/>
        <v>0</v>
      </c>
      <c r="AB26" s="446">
        <f t="shared" si="46"/>
        <v>0</v>
      </c>
      <c r="AC26" s="446">
        <f t="shared" si="46"/>
        <v>0</v>
      </c>
      <c r="AD26" s="446">
        <f t="shared" si="46"/>
        <v>0</v>
      </c>
      <c r="AE26" s="446">
        <f t="shared" si="46"/>
        <v>0</v>
      </c>
      <c r="AF26" s="446">
        <f t="shared" si="46"/>
        <v>0</v>
      </c>
      <c r="AG26" s="446">
        <f t="shared" si="46"/>
        <v>0</v>
      </c>
      <c r="AH26" s="446">
        <f t="shared" si="46"/>
        <v>0</v>
      </c>
      <c r="AI26" s="446">
        <f t="shared" si="46"/>
        <v>0</v>
      </c>
      <c r="AJ26" s="446">
        <f t="shared" si="46"/>
        <v>0</v>
      </c>
      <c r="AK26" s="446">
        <f t="shared" si="46"/>
        <v>0</v>
      </c>
      <c r="AL26" s="446">
        <f t="shared" si="46"/>
        <v>0</v>
      </c>
      <c r="AM26" s="446">
        <f t="shared" si="46"/>
        <v>0</v>
      </c>
      <c r="AN26" s="446">
        <f t="shared" si="46"/>
        <v>0</v>
      </c>
      <c r="AO26" s="446">
        <f t="shared" si="46"/>
        <v>0</v>
      </c>
      <c r="AP26" s="446">
        <f t="shared" si="46"/>
        <v>0</v>
      </c>
      <c r="AQ26" s="446">
        <f t="shared" si="46"/>
        <v>0</v>
      </c>
      <c r="AR26" s="446">
        <f t="shared" si="46"/>
        <v>0</v>
      </c>
      <c r="AS26" s="446">
        <f t="shared" si="46"/>
        <v>0</v>
      </c>
      <c r="AT26" s="446">
        <f t="shared" si="46"/>
        <v>0</v>
      </c>
      <c r="AU26" s="446">
        <f t="shared" si="46"/>
        <v>0</v>
      </c>
      <c r="AV26" s="446">
        <f t="shared" si="46"/>
        <v>0</v>
      </c>
      <c r="AW26" s="446">
        <f t="shared" si="46"/>
        <v>0</v>
      </c>
      <c r="AX26" s="446">
        <f t="shared" si="46"/>
        <v>0</v>
      </c>
      <c r="AY26" s="446">
        <f t="shared" si="46"/>
        <v>0</v>
      </c>
      <c r="AZ26" s="446">
        <f t="shared" si="46"/>
        <v>0</v>
      </c>
      <c r="BA26" s="446">
        <f t="shared" si="46"/>
        <v>0</v>
      </c>
      <c r="BB26" s="446">
        <f t="shared" si="47"/>
        <v>0</v>
      </c>
      <c r="BC26" s="446">
        <f t="shared" si="47"/>
        <v>0</v>
      </c>
      <c r="BD26" s="446">
        <f t="shared" si="47"/>
        <v>0</v>
      </c>
      <c r="BE26" s="446">
        <f t="shared" si="47"/>
        <v>0</v>
      </c>
      <c r="BF26" s="446">
        <f t="shared" si="47"/>
        <v>0</v>
      </c>
      <c r="BG26" s="446">
        <f t="shared" si="47"/>
        <v>0</v>
      </c>
      <c r="BH26" s="446">
        <f t="shared" si="47"/>
        <v>0</v>
      </c>
      <c r="BI26" s="638">
        <f t="shared" si="46"/>
        <v>0</v>
      </c>
      <c r="BJ26" s="446">
        <f t="shared" si="46"/>
        <v>0</v>
      </c>
      <c r="BK26" s="446">
        <f t="shared" si="46"/>
        <v>0</v>
      </c>
      <c r="BL26" s="446">
        <f t="shared" si="46"/>
        <v>0</v>
      </c>
      <c r="BM26" s="446">
        <f t="shared" si="46"/>
        <v>0</v>
      </c>
      <c r="BN26" s="446">
        <f t="shared" si="46"/>
        <v>0</v>
      </c>
      <c r="BO26" s="446">
        <f t="shared" si="46"/>
        <v>0</v>
      </c>
      <c r="BP26" s="446">
        <f t="shared" si="46"/>
        <v>0</v>
      </c>
      <c r="BQ26" s="446">
        <f t="shared" si="46"/>
        <v>0</v>
      </c>
      <c r="BR26" s="446">
        <f t="shared" si="46"/>
        <v>0</v>
      </c>
      <c r="BS26" s="446">
        <f t="shared" si="46"/>
        <v>0</v>
      </c>
      <c r="BT26" s="446">
        <f t="shared" si="46"/>
        <v>0</v>
      </c>
      <c r="BU26" s="446">
        <f t="shared" si="46"/>
        <v>0</v>
      </c>
      <c r="BV26" s="446">
        <f t="shared" si="46"/>
        <v>0</v>
      </c>
      <c r="BW26" s="446">
        <f t="shared" si="46"/>
        <v>0</v>
      </c>
      <c r="BX26" s="446">
        <f t="shared" si="46"/>
        <v>0</v>
      </c>
      <c r="BY26" s="446">
        <f t="shared" si="46"/>
        <v>0</v>
      </c>
      <c r="BZ26" s="446">
        <f t="shared" si="48"/>
        <v>0</v>
      </c>
      <c r="CA26" s="446">
        <f t="shared" si="48"/>
        <v>0</v>
      </c>
      <c r="CB26" s="446">
        <f t="shared" si="48"/>
        <v>0</v>
      </c>
      <c r="CC26" s="446">
        <f t="shared" si="48"/>
        <v>0</v>
      </c>
      <c r="CD26" s="446">
        <f t="shared" si="48"/>
        <v>0</v>
      </c>
      <c r="CE26" s="446">
        <f t="shared" si="48"/>
        <v>0</v>
      </c>
      <c r="CF26" s="446">
        <f t="shared" si="48"/>
        <v>0</v>
      </c>
      <c r="CG26" s="446">
        <f t="shared" si="48"/>
        <v>0</v>
      </c>
      <c r="CH26" s="446">
        <f t="shared" si="48"/>
        <v>0</v>
      </c>
      <c r="CI26" s="446">
        <f t="shared" si="48"/>
        <v>0</v>
      </c>
      <c r="CJ26" s="446">
        <f t="shared" si="48"/>
        <v>0</v>
      </c>
      <c r="CK26" s="446">
        <f t="shared" si="48"/>
        <v>0</v>
      </c>
      <c r="CL26" s="446">
        <f t="shared" si="48"/>
        <v>0</v>
      </c>
      <c r="CM26" s="446">
        <f t="shared" si="48"/>
        <v>0</v>
      </c>
      <c r="CN26" s="446">
        <f t="shared" si="48"/>
        <v>0</v>
      </c>
      <c r="CO26" s="446">
        <f t="shared" si="48"/>
        <v>0</v>
      </c>
      <c r="CP26" s="446">
        <f t="shared" si="48"/>
        <v>0</v>
      </c>
      <c r="CQ26" s="446">
        <f t="shared" si="48"/>
        <v>0</v>
      </c>
      <c r="CR26" s="446">
        <f t="shared" si="48"/>
        <v>0</v>
      </c>
      <c r="CS26" s="446">
        <f t="shared" si="48"/>
        <v>0</v>
      </c>
      <c r="CT26" s="446">
        <f t="shared" si="48"/>
        <v>0</v>
      </c>
      <c r="CU26" s="446">
        <f t="shared" si="48"/>
        <v>0</v>
      </c>
      <c r="CV26" s="446">
        <f t="shared" si="48"/>
        <v>0</v>
      </c>
      <c r="CW26" s="446">
        <f t="shared" si="48"/>
        <v>0</v>
      </c>
      <c r="CX26" s="446">
        <f t="shared" si="48"/>
        <v>0</v>
      </c>
      <c r="CY26" s="446">
        <f t="shared" si="48"/>
        <v>0</v>
      </c>
      <c r="CZ26" s="446">
        <f t="shared" si="48"/>
        <v>0</v>
      </c>
      <c r="DA26" s="446">
        <f t="shared" si="48"/>
        <v>0</v>
      </c>
      <c r="DB26" s="446">
        <f t="shared" si="48"/>
        <v>0</v>
      </c>
      <c r="DC26" s="446">
        <f t="shared" si="48"/>
        <v>0</v>
      </c>
      <c r="DD26" s="446">
        <f t="shared" si="48"/>
        <v>0</v>
      </c>
      <c r="DE26" s="446">
        <f t="shared" si="48"/>
        <v>0</v>
      </c>
      <c r="DF26" s="446">
        <f t="shared" si="48"/>
        <v>0</v>
      </c>
      <c r="DG26" s="446">
        <f t="shared" si="48"/>
        <v>0</v>
      </c>
      <c r="DH26" s="446">
        <f t="shared" si="48"/>
        <v>0</v>
      </c>
      <c r="DI26" s="446">
        <f t="shared" si="48"/>
        <v>0</v>
      </c>
      <c r="DJ26" s="446">
        <f t="shared" si="48"/>
        <v>0</v>
      </c>
      <c r="DK26" s="446">
        <f t="shared" si="48"/>
        <v>0</v>
      </c>
      <c r="DL26" s="446">
        <f t="shared" si="48"/>
        <v>0</v>
      </c>
      <c r="DM26" s="446">
        <f t="shared" si="48"/>
        <v>0</v>
      </c>
      <c r="DN26" s="446">
        <f t="shared" si="48"/>
        <v>0</v>
      </c>
      <c r="DO26" s="446">
        <f t="shared" si="48"/>
        <v>0</v>
      </c>
      <c r="DP26" s="446">
        <f t="shared" si="48"/>
        <v>0</v>
      </c>
      <c r="DQ26" s="446">
        <f t="shared" si="48"/>
        <v>0</v>
      </c>
      <c r="DR26" s="446">
        <f t="shared" si="48"/>
        <v>0</v>
      </c>
      <c r="DS26" s="446">
        <f t="shared" si="48"/>
        <v>0</v>
      </c>
      <c r="DT26" s="446">
        <f t="shared" si="48"/>
        <v>0</v>
      </c>
      <c r="DU26" s="446">
        <f t="shared" si="48"/>
        <v>0</v>
      </c>
      <c r="DV26" s="446">
        <f t="shared" si="48"/>
        <v>0</v>
      </c>
      <c r="DW26" s="446">
        <f t="shared" si="48"/>
        <v>0</v>
      </c>
      <c r="DX26" s="446">
        <f t="shared" si="48"/>
        <v>0</v>
      </c>
      <c r="DY26" s="446">
        <f t="shared" si="48"/>
        <v>0</v>
      </c>
      <c r="DZ26" s="446">
        <f t="shared" si="48"/>
        <v>0</v>
      </c>
      <c r="EA26" s="446">
        <f t="shared" si="48"/>
        <v>0</v>
      </c>
      <c r="EB26" s="446">
        <f t="shared" si="48"/>
        <v>0</v>
      </c>
      <c r="EC26" s="446">
        <f t="shared" si="48"/>
        <v>0</v>
      </c>
      <c r="ED26" s="446">
        <f t="shared" si="48"/>
        <v>0</v>
      </c>
      <c r="EE26" s="446">
        <f t="shared" si="48"/>
        <v>0</v>
      </c>
      <c r="EF26" s="446">
        <f t="shared" si="48"/>
        <v>0</v>
      </c>
      <c r="EG26" s="446">
        <f t="shared" si="48"/>
        <v>0</v>
      </c>
      <c r="EH26" s="446">
        <f t="shared" si="48"/>
        <v>0</v>
      </c>
      <c r="EI26" s="446">
        <f t="shared" si="48"/>
        <v>0</v>
      </c>
      <c r="EJ26" s="446">
        <f t="shared" si="48"/>
        <v>0</v>
      </c>
      <c r="EK26" s="446">
        <f t="shared" si="48"/>
        <v>0</v>
      </c>
      <c r="EL26" s="446">
        <f t="shared" si="49"/>
        <v>0</v>
      </c>
      <c r="EM26" s="446">
        <f t="shared" si="49"/>
        <v>0</v>
      </c>
      <c r="EN26" s="446">
        <f t="shared" si="49"/>
        <v>0</v>
      </c>
      <c r="EO26" s="446">
        <f t="shared" si="49"/>
        <v>0</v>
      </c>
      <c r="EP26" s="446">
        <f t="shared" si="49"/>
        <v>0</v>
      </c>
      <c r="EQ26" s="446">
        <f t="shared" si="49"/>
        <v>0</v>
      </c>
      <c r="ER26" s="446">
        <f t="shared" si="49"/>
        <v>0</v>
      </c>
      <c r="ES26" s="446">
        <f t="shared" si="49"/>
        <v>0</v>
      </c>
      <c r="ET26" s="446">
        <f t="shared" si="49"/>
        <v>0</v>
      </c>
      <c r="EU26" s="446">
        <f t="shared" si="49"/>
        <v>0</v>
      </c>
      <c r="EV26" s="446">
        <f t="shared" si="49"/>
        <v>0</v>
      </c>
      <c r="EW26" s="446">
        <f t="shared" si="49"/>
        <v>0</v>
      </c>
      <c r="EX26" s="446">
        <f t="shared" si="49"/>
        <v>0</v>
      </c>
      <c r="EY26" s="446">
        <f t="shared" si="49"/>
        <v>0</v>
      </c>
      <c r="EZ26" s="446">
        <f t="shared" si="49"/>
        <v>0</v>
      </c>
      <c r="FA26" s="446">
        <f t="shared" si="49"/>
        <v>0</v>
      </c>
      <c r="FB26" s="446">
        <f t="shared" si="49"/>
        <v>0</v>
      </c>
      <c r="FC26" s="446">
        <f t="shared" si="49"/>
        <v>0</v>
      </c>
      <c r="FD26" s="446">
        <f t="shared" si="49"/>
        <v>0</v>
      </c>
      <c r="FE26" s="446">
        <f t="shared" si="49"/>
        <v>0</v>
      </c>
      <c r="FF26" s="446">
        <f t="shared" si="49"/>
        <v>0</v>
      </c>
      <c r="FG26" s="446">
        <f t="shared" si="49"/>
        <v>0</v>
      </c>
      <c r="FH26" s="446">
        <f t="shared" si="49"/>
        <v>0</v>
      </c>
      <c r="FI26" s="446">
        <f t="shared" si="49"/>
        <v>0</v>
      </c>
      <c r="FJ26" s="446">
        <f t="shared" si="49"/>
        <v>0</v>
      </c>
      <c r="FK26" s="446">
        <f t="shared" si="49"/>
        <v>0</v>
      </c>
      <c r="FL26" s="446">
        <f t="shared" si="49"/>
        <v>0</v>
      </c>
      <c r="FM26" s="446">
        <f>SUM(טבלה8[[#This Row],[1]:[156]])</f>
        <v>0</v>
      </c>
      <c r="FN26" s="447">
        <f>CEILING(טבלה8[[#This Row],[סה"כ]],60)/60</f>
        <v>0</v>
      </c>
      <c r="FO26" s="554" t="str">
        <f>טבלה8[[#This Row],[מוצר]]</f>
        <v>טחינה 30 גרם</v>
      </c>
      <c r="FP26" s="554"/>
      <c r="FR26" s="170" t="s">
        <v>696</v>
      </c>
    </row>
    <row r="27" spans="1:174" s="219" customFormat="1" ht="16.5" customHeight="1">
      <c r="A27" s="440" t="s">
        <v>679</v>
      </c>
      <c r="B27" s="440">
        <v>21</v>
      </c>
      <c r="C27" s="440">
        <v>1486</v>
      </c>
      <c r="D27" s="427" t="e">
        <f>SUMIF([2]!טבלה6[קוד מוצר],C27,[2]!טבלה6[מחיר לקוח])</f>
        <v>#REF!</v>
      </c>
      <c r="E27" s="440">
        <v>120</v>
      </c>
      <c r="F27" s="427" t="e">
        <f t="shared" si="33"/>
        <v>#REF!</v>
      </c>
      <c r="G27" s="441">
        <v>0.17</v>
      </c>
      <c r="H27" s="442" t="e">
        <f t="shared" si="1"/>
        <v>#REF!</v>
      </c>
      <c r="I27" s="443" t="e">
        <f t="shared" si="2"/>
        <v>#REF!</v>
      </c>
      <c r="J27" s="440" t="s">
        <v>348</v>
      </c>
      <c r="K27" s="444" t="s">
        <v>681</v>
      </c>
      <c r="L27" s="445">
        <f>1/4</f>
        <v>0.25</v>
      </c>
      <c r="M27" s="446">
        <f>ROUNDUP($L27*M$4,0)</f>
        <v>0</v>
      </c>
      <c r="N27" s="446">
        <f>ROUNDUP($L27*N$4,0)</f>
        <v>0</v>
      </c>
      <c r="O27" s="446">
        <f t="shared" ref="O27:P27" si="50">ROUNDUP($L27*O$4,0)</f>
        <v>0</v>
      </c>
      <c r="P27" s="446">
        <f t="shared" si="50"/>
        <v>0</v>
      </c>
      <c r="Q27" s="446">
        <f>ROUNDUP($L27*Q$4,0)</f>
        <v>0</v>
      </c>
      <c r="R27" s="446">
        <f t="shared" ref="R27:BY27" si="51">ROUNDUP($L27*R$4,0)</f>
        <v>0</v>
      </c>
      <c r="S27" s="446">
        <f t="shared" si="51"/>
        <v>0</v>
      </c>
      <c r="T27" s="446">
        <f t="shared" si="51"/>
        <v>0</v>
      </c>
      <c r="U27" s="446">
        <f t="shared" si="51"/>
        <v>0</v>
      </c>
      <c r="V27" s="446">
        <f t="shared" si="51"/>
        <v>0</v>
      </c>
      <c r="W27" s="446">
        <f t="shared" si="51"/>
        <v>0</v>
      </c>
      <c r="X27" s="446">
        <f t="shared" si="51"/>
        <v>0</v>
      </c>
      <c r="Y27" s="446">
        <f t="shared" si="51"/>
        <v>0</v>
      </c>
      <c r="Z27" s="446">
        <f t="shared" si="51"/>
        <v>0</v>
      </c>
      <c r="AA27" s="446">
        <f t="shared" si="51"/>
        <v>0</v>
      </c>
      <c r="AB27" s="446">
        <f t="shared" si="51"/>
        <v>0</v>
      </c>
      <c r="AC27" s="446">
        <f t="shared" si="51"/>
        <v>0</v>
      </c>
      <c r="AD27" s="446">
        <f t="shared" si="51"/>
        <v>0</v>
      </c>
      <c r="AE27" s="446">
        <f t="shared" si="51"/>
        <v>0</v>
      </c>
      <c r="AF27" s="446">
        <f t="shared" si="51"/>
        <v>0</v>
      </c>
      <c r="AG27" s="446">
        <f t="shared" si="51"/>
        <v>0</v>
      </c>
      <c r="AH27" s="446">
        <f t="shared" si="51"/>
        <v>0</v>
      </c>
      <c r="AI27" s="446">
        <f t="shared" si="51"/>
        <v>0</v>
      </c>
      <c r="AJ27" s="446">
        <f t="shared" si="51"/>
        <v>0</v>
      </c>
      <c r="AK27" s="446">
        <f t="shared" si="51"/>
        <v>0</v>
      </c>
      <c r="AL27" s="446">
        <f t="shared" si="51"/>
        <v>0</v>
      </c>
      <c r="AM27" s="446">
        <f t="shared" si="51"/>
        <v>0</v>
      </c>
      <c r="AN27" s="446">
        <f t="shared" si="51"/>
        <v>0</v>
      </c>
      <c r="AO27" s="446">
        <f t="shared" si="51"/>
        <v>0</v>
      </c>
      <c r="AP27" s="446">
        <f t="shared" si="51"/>
        <v>0</v>
      </c>
      <c r="AQ27" s="446">
        <f t="shared" si="51"/>
        <v>0</v>
      </c>
      <c r="AR27" s="446">
        <f t="shared" si="51"/>
        <v>0</v>
      </c>
      <c r="AS27" s="446">
        <f t="shared" si="51"/>
        <v>0</v>
      </c>
      <c r="AT27" s="446">
        <f t="shared" si="51"/>
        <v>0</v>
      </c>
      <c r="AU27" s="446">
        <f t="shared" si="51"/>
        <v>0</v>
      </c>
      <c r="AV27" s="446">
        <f t="shared" si="51"/>
        <v>0</v>
      </c>
      <c r="AW27" s="446">
        <f t="shared" si="51"/>
        <v>0</v>
      </c>
      <c r="AX27" s="446">
        <f t="shared" si="51"/>
        <v>0</v>
      </c>
      <c r="AY27" s="446">
        <f t="shared" si="51"/>
        <v>0</v>
      </c>
      <c r="AZ27" s="446">
        <f t="shared" ref="AZ27:BA27" si="52">ROUNDUP($L27*AZ$4,0)</f>
        <v>0</v>
      </c>
      <c r="BA27" s="446">
        <f t="shared" si="52"/>
        <v>0</v>
      </c>
      <c r="BB27" s="446">
        <f t="shared" ref="BB27:BH27" si="53">ROUNDUP($L27*BB$4,0)</f>
        <v>0</v>
      </c>
      <c r="BC27" s="446">
        <f t="shared" si="53"/>
        <v>0</v>
      </c>
      <c r="BD27" s="446">
        <f t="shared" si="53"/>
        <v>0</v>
      </c>
      <c r="BE27" s="446">
        <f t="shared" si="53"/>
        <v>0</v>
      </c>
      <c r="BF27" s="446">
        <f t="shared" si="53"/>
        <v>0</v>
      </c>
      <c r="BG27" s="446">
        <f t="shared" si="53"/>
        <v>0</v>
      </c>
      <c r="BH27" s="446">
        <f t="shared" si="53"/>
        <v>0</v>
      </c>
      <c r="BI27" s="638">
        <f t="shared" si="51"/>
        <v>0</v>
      </c>
      <c r="BJ27" s="446">
        <f t="shared" si="51"/>
        <v>0</v>
      </c>
      <c r="BK27" s="446">
        <f t="shared" si="51"/>
        <v>0</v>
      </c>
      <c r="BL27" s="446">
        <f t="shared" si="51"/>
        <v>0</v>
      </c>
      <c r="BM27" s="446">
        <f t="shared" si="51"/>
        <v>0</v>
      </c>
      <c r="BN27" s="446">
        <f t="shared" si="51"/>
        <v>0</v>
      </c>
      <c r="BO27" s="446">
        <f t="shared" si="51"/>
        <v>0</v>
      </c>
      <c r="BP27" s="446">
        <f t="shared" si="51"/>
        <v>0</v>
      </c>
      <c r="BQ27" s="446">
        <f t="shared" si="51"/>
        <v>0</v>
      </c>
      <c r="BR27" s="446">
        <f t="shared" si="51"/>
        <v>0</v>
      </c>
      <c r="BS27" s="446">
        <f t="shared" si="51"/>
        <v>0</v>
      </c>
      <c r="BT27" s="446">
        <f t="shared" si="51"/>
        <v>0</v>
      </c>
      <c r="BU27" s="446">
        <f t="shared" si="51"/>
        <v>0</v>
      </c>
      <c r="BV27" s="446">
        <f t="shared" si="51"/>
        <v>0</v>
      </c>
      <c r="BW27" s="446">
        <f t="shared" si="51"/>
        <v>0</v>
      </c>
      <c r="BX27" s="446">
        <f t="shared" si="51"/>
        <v>0</v>
      </c>
      <c r="BY27" s="446">
        <f t="shared" si="51"/>
        <v>0</v>
      </c>
      <c r="BZ27" s="446">
        <f t="shared" ref="BZ27:EK27" si="54">ROUNDUP($L27*BZ$4,0)</f>
        <v>0</v>
      </c>
      <c r="CA27" s="446">
        <f t="shared" si="54"/>
        <v>0</v>
      </c>
      <c r="CB27" s="446">
        <f t="shared" si="54"/>
        <v>0</v>
      </c>
      <c r="CC27" s="446">
        <f t="shared" si="54"/>
        <v>0</v>
      </c>
      <c r="CD27" s="446">
        <f t="shared" si="54"/>
        <v>0</v>
      </c>
      <c r="CE27" s="446">
        <f t="shared" si="54"/>
        <v>0</v>
      </c>
      <c r="CF27" s="446">
        <f t="shared" si="54"/>
        <v>0</v>
      </c>
      <c r="CG27" s="446">
        <f t="shared" si="54"/>
        <v>0</v>
      </c>
      <c r="CH27" s="446">
        <f t="shared" si="54"/>
        <v>0</v>
      </c>
      <c r="CI27" s="446">
        <f t="shared" si="54"/>
        <v>0</v>
      </c>
      <c r="CJ27" s="446">
        <f t="shared" si="54"/>
        <v>0</v>
      </c>
      <c r="CK27" s="446">
        <f t="shared" si="54"/>
        <v>0</v>
      </c>
      <c r="CL27" s="446">
        <f t="shared" si="54"/>
        <v>0</v>
      </c>
      <c r="CM27" s="446">
        <f t="shared" si="54"/>
        <v>0</v>
      </c>
      <c r="CN27" s="446">
        <f t="shared" si="54"/>
        <v>0</v>
      </c>
      <c r="CO27" s="446">
        <f t="shared" si="54"/>
        <v>0</v>
      </c>
      <c r="CP27" s="446">
        <f t="shared" si="54"/>
        <v>0</v>
      </c>
      <c r="CQ27" s="446">
        <f t="shared" si="54"/>
        <v>0</v>
      </c>
      <c r="CR27" s="446">
        <f t="shared" si="54"/>
        <v>0</v>
      </c>
      <c r="CS27" s="446">
        <f t="shared" si="54"/>
        <v>0</v>
      </c>
      <c r="CT27" s="446">
        <f t="shared" si="54"/>
        <v>0</v>
      </c>
      <c r="CU27" s="446">
        <f t="shared" si="54"/>
        <v>0</v>
      </c>
      <c r="CV27" s="446">
        <f t="shared" si="54"/>
        <v>0</v>
      </c>
      <c r="CW27" s="446">
        <f t="shared" si="54"/>
        <v>0</v>
      </c>
      <c r="CX27" s="446">
        <f t="shared" si="54"/>
        <v>0</v>
      </c>
      <c r="CY27" s="446">
        <f t="shared" si="54"/>
        <v>0</v>
      </c>
      <c r="CZ27" s="446">
        <f t="shared" si="54"/>
        <v>0</v>
      </c>
      <c r="DA27" s="446">
        <f t="shared" si="54"/>
        <v>0</v>
      </c>
      <c r="DB27" s="446">
        <f t="shared" si="54"/>
        <v>0</v>
      </c>
      <c r="DC27" s="446">
        <f t="shared" si="54"/>
        <v>0</v>
      </c>
      <c r="DD27" s="446">
        <f t="shared" si="54"/>
        <v>0</v>
      </c>
      <c r="DE27" s="446">
        <f t="shared" si="54"/>
        <v>0</v>
      </c>
      <c r="DF27" s="446">
        <f t="shared" si="54"/>
        <v>0</v>
      </c>
      <c r="DG27" s="446">
        <f t="shared" si="54"/>
        <v>0</v>
      </c>
      <c r="DH27" s="446">
        <f t="shared" si="54"/>
        <v>0</v>
      </c>
      <c r="DI27" s="446">
        <f t="shared" si="54"/>
        <v>0</v>
      </c>
      <c r="DJ27" s="446">
        <f t="shared" si="54"/>
        <v>0</v>
      </c>
      <c r="DK27" s="446">
        <f t="shared" si="54"/>
        <v>0</v>
      </c>
      <c r="DL27" s="446">
        <f t="shared" si="54"/>
        <v>0</v>
      </c>
      <c r="DM27" s="446">
        <f t="shared" si="54"/>
        <v>0</v>
      </c>
      <c r="DN27" s="446">
        <f t="shared" si="54"/>
        <v>0</v>
      </c>
      <c r="DO27" s="446">
        <f t="shared" si="54"/>
        <v>0</v>
      </c>
      <c r="DP27" s="446">
        <f t="shared" si="54"/>
        <v>0</v>
      </c>
      <c r="DQ27" s="446">
        <f t="shared" si="54"/>
        <v>0</v>
      </c>
      <c r="DR27" s="446">
        <f t="shared" si="54"/>
        <v>0</v>
      </c>
      <c r="DS27" s="446">
        <f t="shared" si="54"/>
        <v>0</v>
      </c>
      <c r="DT27" s="446">
        <f t="shared" si="54"/>
        <v>0</v>
      </c>
      <c r="DU27" s="446">
        <f t="shared" si="54"/>
        <v>0</v>
      </c>
      <c r="DV27" s="446">
        <f t="shared" si="54"/>
        <v>0</v>
      </c>
      <c r="DW27" s="446">
        <f t="shared" si="54"/>
        <v>0</v>
      </c>
      <c r="DX27" s="446">
        <f t="shared" si="54"/>
        <v>0</v>
      </c>
      <c r="DY27" s="446">
        <f t="shared" si="54"/>
        <v>0</v>
      </c>
      <c r="DZ27" s="446">
        <f t="shared" si="54"/>
        <v>0</v>
      </c>
      <c r="EA27" s="446">
        <f t="shared" si="54"/>
        <v>0</v>
      </c>
      <c r="EB27" s="446">
        <f t="shared" si="54"/>
        <v>0</v>
      </c>
      <c r="EC27" s="446">
        <f t="shared" si="54"/>
        <v>0</v>
      </c>
      <c r="ED27" s="446">
        <f t="shared" si="54"/>
        <v>0</v>
      </c>
      <c r="EE27" s="446">
        <f t="shared" si="54"/>
        <v>0</v>
      </c>
      <c r="EF27" s="446">
        <f t="shared" si="54"/>
        <v>0</v>
      </c>
      <c r="EG27" s="446">
        <f t="shared" si="54"/>
        <v>0</v>
      </c>
      <c r="EH27" s="446">
        <f t="shared" si="54"/>
        <v>0</v>
      </c>
      <c r="EI27" s="446">
        <f t="shared" si="54"/>
        <v>0</v>
      </c>
      <c r="EJ27" s="446">
        <f t="shared" si="54"/>
        <v>0</v>
      </c>
      <c r="EK27" s="446">
        <f t="shared" si="54"/>
        <v>0</v>
      </c>
      <c r="EL27" s="446">
        <f t="shared" ref="EL27:FL27" si="55">ROUNDUP($L27*EL$4,0)</f>
        <v>0</v>
      </c>
      <c r="EM27" s="446">
        <f t="shared" si="55"/>
        <v>0</v>
      </c>
      <c r="EN27" s="446">
        <f t="shared" si="55"/>
        <v>0</v>
      </c>
      <c r="EO27" s="446">
        <f t="shared" si="55"/>
        <v>0</v>
      </c>
      <c r="EP27" s="446">
        <f t="shared" si="55"/>
        <v>0</v>
      </c>
      <c r="EQ27" s="446">
        <f t="shared" si="55"/>
        <v>0</v>
      </c>
      <c r="ER27" s="446">
        <f t="shared" si="55"/>
        <v>0</v>
      </c>
      <c r="ES27" s="446">
        <f t="shared" si="55"/>
        <v>0</v>
      </c>
      <c r="ET27" s="446">
        <f t="shared" si="55"/>
        <v>0</v>
      </c>
      <c r="EU27" s="446">
        <f t="shared" si="55"/>
        <v>0</v>
      </c>
      <c r="EV27" s="446">
        <f t="shared" si="55"/>
        <v>0</v>
      </c>
      <c r="EW27" s="446">
        <f t="shared" si="55"/>
        <v>0</v>
      </c>
      <c r="EX27" s="446">
        <f t="shared" si="55"/>
        <v>0</v>
      </c>
      <c r="EY27" s="446">
        <f t="shared" si="55"/>
        <v>0</v>
      </c>
      <c r="EZ27" s="446">
        <f t="shared" si="55"/>
        <v>0</v>
      </c>
      <c r="FA27" s="446">
        <f t="shared" si="55"/>
        <v>0</v>
      </c>
      <c r="FB27" s="446">
        <f t="shared" si="55"/>
        <v>0</v>
      </c>
      <c r="FC27" s="446">
        <f t="shared" si="55"/>
        <v>0</v>
      </c>
      <c r="FD27" s="446">
        <f t="shared" si="55"/>
        <v>0</v>
      </c>
      <c r="FE27" s="446">
        <f t="shared" si="55"/>
        <v>0</v>
      </c>
      <c r="FF27" s="446">
        <f t="shared" si="55"/>
        <v>0</v>
      </c>
      <c r="FG27" s="446">
        <f t="shared" si="55"/>
        <v>0</v>
      </c>
      <c r="FH27" s="446">
        <f t="shared" si="55"/>
        <v>0</v>
      </c>
      <c r="FI27" s="446">
        <f t="shared" si="55"/>
        <v>0</v>
      </c>
      <c r="FJ27" s="446">
        <f t="shared" si="55"/>
        <v>0</v>
      </c>
      <c r="FK27" s="446">
        <f t="shared" si="55"/>
        <v>0</v>
      </c>
      <c r="FL27" s="446">
        <f t="shared" si="55"/>
        <v>0</v>
      </c>
      <c r="FM27" s="446">
        <f>SUM(טבלה8[[#This Row],[1]:[156]])</f>
        <v>0</v>
      </c>
      <c r="FN27" s="447">
        <f>CEILING(טבלה8[[#This Row],[סה"כ]],120)/120</f>
        <v>0</v>
      </c>
      <c r="FO27" s="554" t="str">
        <f>טבלה8[[#This Row],[מוצר]]</f>
        <v>ריבה מ.א. 120 יח</v>
      </c>
      <c r="FP27" s="554"/>
      <c r="FR27" s="219" t="s">
        <v>697</v>
      </c>
    </row>
    <row r="28" spans="1:174" ht="16.5" customHeight="1">
      <c r="A28" s="440" t="s">
        <v>612</v>
      </c>
      <c r="B28" s="440">
        <v>22</v>
      </c>
      <c r="C28" s="440">
        <v>7915</v>
      </c>
      <c r="D28" s="427" t="e">
        <f>SUMIF([2]!טבלה6[קוד מוצר],C28,[2]!טבלה6[מחיר לקוח])</f>
        <v>#REF!</v>
      </c>
      <c r="E28" s="440">
        <v>1</v>
      </c>
      <c r="F28" s="427" t="e">
        <f t="shared" si="33"/>
        <v>#REF!</v>
      </c>
      <c r="G28" s="441">
        <v>0.17</v>
      </c>
      <c r="H28" s="442" t="e">
        <f t="shared" si="1"/>
        <v>#REF!</v>
      </c>
      <c r="I28" s="443" t="e">
        <f t="shared" si="2"/>
        <v>#REF!</v>
      </c>
      <c r="J28" s="462" t="s">
        <v>79</v>
      </c>
      <c r="K28" s="463" t="str">
        <f>IF(J28=$FR$18,"2 לצליאק","1 לצליאק")</f>
        <v>2 לצליאק</v>
      </c>
      <c r="L28" s="450">
        <f>IF(J28=$FR$17,1,2)</f>
        <v>2</v>
      </c>
      <c r="M28" s="446">
        <f>ROUNDUP($L28*M$7,0)</f>
        <v>0</v>
      </c>
      <c r="N28" s="446">
        <f>ROUNDUP($L28*N$7,0)</f>
        <v>0</v>
      </c>
      <c r="O28" s="446">
        <f>ROUNDUP($L28*O$7,0)</f>
        <v>0</v>
      </c>
      <c r="P28" s="446">
        <f>ROUNDUP($L28*P$7,0)</f>
        <v>0</v>
      </c>
      <c r="Q28" s="446">
        <f>ROUNDUP($L28*Q$7,0)</f>
        <v>0</v>
      </c>
      <c r="R28" s="446">
        <f t="shared" ref="R28:BY28" si="56">ROUNDUP($L28*R$7,0)</f>
        <v>0</v>
      </c>
      <c r="S28" s="446">
        <f t="shared" si="56"/>
        <v>0</v>
      </c>
      <c r="T28" s="446">
        <f t="shared" si="56"/>
        <v>0</v>
      </c>
      <c r="U28" s="446">
        <f t="shared" si="56"/>
        <v>0</v>
      </c>
      <c r="V28" s="446">
        <f t="shared" si="56"/>
        <v>0</v>
      </c>
      <c r="W28" s="446">
        <f t="shared" si="56"/>
        <v>0</v>
      </c>
      <c r="X28" s="446">
        <f t="shared" si="56"/>
        <v>0</v>
      </c>
      <c r="Y28" s="446">
        <f t="shared" si="56"/>
        <v>0</v>
      </c>
      <c r="Z28" s="446">
        <f t="shared" si="56"/>
        <v>0</v>
      </c>
      <c r="AA28" s="446">
        <f t="shared" si="56"/>
        <v>0</v>
      </c>
      <c r="AB28" s="446">
        <f t="shared" si="56"/>
        <v>0</v>
      </c>
      <c r="AC28" s="446">
        <f t="shared" si="56"/>
        <v>0</v>
      </c>
      <c r="AD28" s="446">
        <f t="shared" si="56"/>
        <v>0</v>
      </c>
      <c r="AE28" s="446">
        <f t="shared" si="56"/>
        <v>0</v>
      </c>
      <c r="AF28" s="446">
        <f t="shared" si="56"/>
        <v>0</v>
      </c>
      <c r="AG28" s="446">
        <f t="shared" si="56"/>
        <v>0</v>
      </c>
      <c r="AH28" s="446">
        <f t="shared" si="56"/>
        <v>0</v>
      </c>
      <c r="AI28" s="446">
        <f t="shared" si="56"/>
        <v>0</v>
      </c>
      <c r="AJ28" s="446">
        <f t="shared" si="56"/>
        <v>0</v>
      </c>
      <c r="AK28" s="446">
        <f t="shared" si="56"/>
        <v>0</v>
      </c>
      <c r="AL28" s="446">
        <f t="shared" si="56"/>
        <v>0</v>
      </c>
      <c r="AM28" s="446">
        <f t="shared" si="56"/>
        <v>0</v>
      </c>
      <c r="AN28" s="446">
        <f t="shared" si="56"/>
        <v>0</v>
      </c>
      <c r="AO28" s="446">
        <f t="shared" si="56"/>
        <v>0</v>
      </c>
      <c r="AP28" s="446">
        <f t="shared" si="56"/>
        <v>0</v>
      </c>
      <c r="AQ28" s="446">
        <f t="shared" si="56"/>
        <v>0</v>
      </c>
      <c r="AR28" s="446">
        <f t="shared" si="56"/>
        <v>0</v>
      </c>
      <c r="AS28" s="446">
        <f t="shared" si="56"/>
        <v>0</v>
      </c>
      <c r="AT28" s="446">
        <f t="shared" si="56"/>
        <v>0</v>
      </c>
      <c r="AU28" s="446">
        <f t="shared" si="56"/>
        <v>0</v>
      </c>
      <c r="AV28" s="446">
        <f t="shared" si="56"/>
        <v>0</v>
      </c>
      <c r="AW28" s="446">
        <f t="shared" si="56"/>
        <v>0</v>
      </c>
      <c r="AX28" s="446">
        <f t="shared" si="56"/>
        <v>0</v>
      </c>
      <c r="AY28" s="446">
        <f t="shared" si="56"/>
        <v>0</v>
      </c>
      <c r="AZ28" s="446">
        <f t="shared" si="56"/>
        <v>0</v>
      </c>
      <c r="BA28" s="446">
        <f t="shared" si="56"/>
        <v>0</v>
      </c>
      <c r="BB28" s="446">
        <f t="shared" ref="BB28:BH28" si="57">ROUNDUP($L28*BB$7,0)</f>
        <v>0</v>
      </c>
      <c r="BC28" s="446">
        <f t="shared" si="57"/>
        <v>0</v>
      </c>
      <c r="BD28" s="446">
        <f t="shared" si="57"/>
        <v>0</v>
      </c>
      <c r="BE28" s="446">
        <f t="shared" si="57"/>
        <v>0</v>
      </c>
      <c r="BF28" s="446">
        <f t="shared" si="57"/>
        <v>0</v>
      </c>
      <c r="BG28" s="446">
        <f t="shared" si="57"/>
        <v>0</v>
      </c>
      <c r="BH28" s="446">
        <f t="shared" si="57"/>
        <v>0</v>
      </c>
      <c r="BI28" s="638">
        <f t="shared" si="56"/>
        <v>0</v>
      </c>
      <c r="BJ28" s="446">
        <f t="shared" si="56"/>
        <v>0</v>
      </c>
      <c r="BK28" s="446">
        <f t="shared" si="56"/>
        <v>0</v>
      </c>
      <c r="BL28" s="446">
        <f t="shared" si="56"/>
        <v>0</v>
      </c>
      <c r="BM28" s="446">
        <f t="shared" si="56"/>
        <v>0</v>
      </c>
      <c r="BN28" s="446">
        <f t="shared" si="56"/>
        <v>0</v>
      </c>
      <c r="BO28" s="446">
        <f t="shared" si="56"/>
        <v>0</v>
      </c>
      <c r="BP28" s="446">
        <f t="shared" si="56"/>
        <v>0</v>
      </c>
      <c r="BQ28" s="446">
        <f t="shared" si="56"/>
        <v>0</v>
      </c>
      <c r="BR28" s="446">
        <f t="shared" si="56"/>
        <v>0</v>
      </c>
      <c r="BS28" s="446">
        <f t="shared" si="56"/>
        <v>0</v>
      </c>
      <c r="BT28" s="446">
        <f t="shared" si="56"/>
        <v>0</v>
      </c>
      <c r="BU28" s="446">
        <f t="shared" si="56"/>
        <v>0</v>
      </c>
      <c r="BV28" s="446">
        <f t="shared" si="56"/>
        <v>0</v>
      </c>
      <c r="BW28" s="446">
        <f t="shared" si="56"/>
        <v>0</v>
      </c>
      <c r="BX28" s="446">
        <f t="shared" si="56"/>
        <v>0</v>
      </c>
      <c r="BY28" s="446">
        <f t="shared" si="56"/>
        <v>0</v>
      </c>
      <c r="BZ28" s="446">
        <f t="shared" ref="BZ28:EK28" si="58">ROUNDUP($L28*BZ$7,0)</f>
        <v>0</v>
      </c>
      <c r="CA28" s="446">
        <f t="shared" si="58"/>
        <v>0</v>
      </c>
      <c r="CB28" s="446">
        <f t="shared" si="58"/>
        <v>0</v>
      </c>
      <c r="CC28" s="446">
        <f t="shared" si="58"/>
        <v>0</v>
      </c>
      <c r="CD28" s="446">
        <f t="shared" si="58"/>
        <v>0</v>
      </c>
      <c r="CE28" s="446">
        <f t="shared" si="58"/>
        <v>0</v>
      </c>
      <c r="CF28" s="446">
        <f t="shared" si="58"/>
        <v>0</v>
      </c>
      <c r="CG28" s="446">
        <f t="shared" si="58"/>
        <v>0</v>
      </c>
      <c r="CH28" s="446">
        <f t="shared" si="58"/>
        <v>0</v>
      </c>
      <c r="CI28" s="446">
        <f t="shared" si="58"/>
        <v>0</v>
      </c>
      <c r="CJ28" s="446">
        <f t="shared" si="58"/>
        <v>0</v>
      </c>
      <c r="CK28" s="446">
        <f t="shared" si="58"/>
        <v>0</v>
      </c>
      <c r="CL28" s="446">
        <f t="shared" si="58"/>
        <v>0</v>
      </c>
      <c r="CM28" s="446">
        <f t="shared" si="58"/>
        <v>0</v>
      </c>
      <c r="CN28" s="446">
        <f t="shared" si="58"/>
        <v>0</v>
      </c>
      <c r="CO28" s="446">
        <f t="shared" si="58"/>
        <v>0</v>
      </c>
      <c r="CP28" s="446">
        <f t="shared" si="58"/>
        <v>0</v>
      </c>
      <c r="CQ28" s="446">
        <f t="shared" si="58"/>
        <v>0</v>
      </c>
      <c r="CR28" s="446">
        <f t="shared" si="58"/>
        <v>0</v>
      </c>
      <c r="CS28" s="446">
        <f t="shared" si="58"/>
        <v>0</v>
      </c>
      <c r="CT28" s="446">
        <f t="shared" si="58"/>
        <v>0</v>
      </c>
      <c r="CU28" s="446">
        <f t="shared" si="58"/>
        <v>0</v>
      </c>
      <c r="CV28" s="446">
        <f t="shared" si="58"/>
        <v>0</v>
      </c>
      <c r="CW28" s="446">
        <f t="shared" si="58"/>
        <v>0</v>
      </c>
      <c r="CX28" s="446">
        <f t="shared" si="58"/>
        <v>0</v>
      </c>
      <c r="CY28" s="446">
        <f t="shared" si="58"/>
        <v>0</v>
      </c>
      <c r="CZ28" s="446">
        <f t="shared" si="58"/>
        <v>0</v>
      </c>
      <c r="DA28" s="446">
        <f t="shared" si="58"/>
        <v>0</v>
      </c>
      <c r="DB28" s="446">
        <f t="shared" si="58"/>
        <v>0</v>
      </c>
      <c r="DC28" s="446">
        <f t="shared" si="58"/>
        <v>0</v>
      </c>
      <c r="DD28" s="446">
        <f t="shared" si="58"/>
        <v>0</v>
      </c>
      <c r="DE28" s="446">
        <f t="shared" si="58"/>
        <v>0</v>
      </c>
      <c r="DF28" s="446">
        <f t="shared" si="58"/>
        <v>0</v>
      </c>
      <c r="DG28" s="446">
        <f t="shared" si="58"/>
        <v>0</v>
      </c>
      <c r="DH28" s="446">
        <f t="shared" si="58"/>
        <v>0</v>
      </c>
      <c r="DI28" s="446">
        <f t="shared" si="58"/>
        <v>0</v>
      </c>
      <c r="DJ28" s="446">
        <f t="shared" si="58"/>
        <v>0</v>
      </c>
      <c r="DK28" s="446">
        <f t="shared" si="58"/>
        <v>0</v>
      </c>
      <c r="DL28" s="446">
        <f t="shared" si="58"/>
        <v>0</v>
      </c>
      <c r="DM28" s="446">
        <f t="shared" si="58"/>
        <v>0</v>
      </c>
      <c r="DN28" s="446">
        <f t="shared" si="58"/>
        <v>0</v>
      </c>
      <c r="DO28" s="446">
        <f t="shared" si="58"/>
        <v>0</v>
      </c>
      <c r="DP28" s="446">
        <f t="shared" si="58"/>
        <v>0</v>
      </c>
      <c r="DQ28" s="446">
        <f t="shared" si="58"/>
        <v>0</v>
      </c>
      <c r="DR28" s="446">
        <f t="shared" si="58"/>
        <v>0</v>
      </c>
      <c r="DS28" s="446">
        <f t="shared" si="58"/>
        <v>0</v>
      </c>
      <c r="DT28" s="446">
        <f t="shared" si="58"/>
        <v>0</v>
      </c>
      <c r="DU28" s="446">
        <f t="shared" si="58"/>
        <v>0</v>
      </c>
      <c r="DV28" s="446">
        <f t="shared" si="58"/>
        <v>0</v>
      </c>
      <c r="DW28" s="446">
        <f t="shared" si="58"/>
        <v>0</v>
      </c>
      <c r="DX28" s="446">
        <f t="shared" si="58"/>
        <v>0</v>
      </c>
      <c r="DY28" s="446">
        <f t="shared" si="58"/>
        <v>0</v>
      </c>
      <c r="DZ28" s="446">
        <f t="shared" si="58"/>
        <v>0</v>
      </c>
      <c r="EA28" s="446">
        <f t="shared" si="58"/>
        <v>0</v>
      </c>
      <c r="EB28" s="446">
        <f t="shared" si="58"/>
        <v>0</v>
      </c>
      <c r="EC28" s="446">
        <f t="shared" si="58"/>
        <v>0</v>
      </c>
      <c r="ED28" s="446">
        <f t="shared" si="58"/>
        <v>0</v>
      </c>
      <c r="EE28" s="446">
        <f t="shared" si="58"/>
        <v>0</v>
      </c>
      <c r="EF28" s="446">
        <f t="shared" si="58"/>
        <v>0</v>
      </c>
      <c r="EG28" s="446">
        <f t="shared" si="58"/>
        <v>0</v>
      </c>
      <c r="EH28" s="446">
        <f t="shared" si="58"/>
        <v>0</v>
      </c>
      <c r="EI28" s="446">
        <f t="shared" si="58"/>
        <v>0</v>
      </c>
      <c r="EJ28" s="446">
        <f t="shared" si="58"/>
        <v>0</v>
      </c>
      <c r="EK28" s="446">
        <f t="shared" si="58"/>
        <v>0</v>
      </c>
      <c r="EL28" s="446">
        <f t="shared" ref="EL28:FL28" si="59">ROUNDUP($L28*EL$7,0)</f>
        <v>0</v>
      </c>
      <c r="EM28" s="446">
        <f t="shared" si="59"/>
        <v>0</v>
      </c>
      <c r="EN28" s="446">
        <f t="shared" si="59"/>
        <v>0</v>
      </c>
      <c r="EO28" s="446">
        <f t="shared" si="59"/>
        <v>0</v>
      </c>
      <c r="EP28" s="446">
        <f t="shared" si="59"/>
        <v>0</v>
      </c>
      <c r="EQ28" s="446">
        <f t="shared" si="59"/>
        <v>0</v>
      </c>
      <c r="ER28" s="446">
        <f t="shared" si="59"/>
        <v>0</v>
      </c>
      <c r="ES28" s="446">
        <f t="shared" si="59"/>
        <v>0</v>
      </c>
      <c r="ET28" s="446">
        <f t="shared" si="59"/>
        <v>0</v>
      </c>
      <c r="EU28" s="446">
        <f t="shared" si="59"/>
        <v>0</v>
      </c>
      <c r="EV28" s="446">
        <f t="shared" si="59"/>
        <v>0</v>
      </c>
      <c r="EW28" s="446">
        <f t="shared" si="59"/>
        <v>0</v>
      </c>
      <c r="EX28" s="446">
        <f t="shared" si="59"/>
        <v>0</v>
      </c>
      <c r="EY28" s="446">
        <f t="shared" si="59"/>
        <v>0</v>
      </c>
      <c r="EZ28" s="446">
        <f t="shared" si="59"/>
        <v>0</v>
      </c>
      <c r="FA28" s="446">
        <f t="shared" si="59"/>
        <v>0</v>
      </c>
      <c r="FB28" s="446">
        <f t="shared" si="59"/>
        <v>0</v>
      </c>
      <c r="FC28" s="446">
        <f t="shared" si="59"/>
        <v>0</v>
      </c>
      <c r="FD28" s="446">
        <f t="shared" si="59"/>
        <v>0</v>
      </c>
      <c r="FE28" s="446">
        <f t="shared" si="59"/>
        <v>0</v>
      </c>
      <c r="FF28" s="446">
        <f t="shared" si="59"/>
        <v>0</v>
      </c>
      <c r="FG28" s="446">
        <f t="shared" si="59"/>
        <v>0</v>
      </c>
      <c r="FH28" s="446">
        <f t="shared" si="59"/>
        <v>0</v>
      </c>
      <c r="FI28" s="446">
        <f t="shared" si="59"/>
        <v>0</v>
      </c>
      <c r="FJ28" s="446">
        <f t="shared" si="59"/>
        <v>0</v>
      </c>
      <c r="FK28" s="446">
        <f t="shared" si="59"/>
        <v>0</v>
      </c>
      <c r="FL28" s="446">
        <f t="shared" si="59"/>
        <v>0</v>
      </c>
      <c r="FM28" s="446">
        <f>SUM(טבלה8[[#This Row],[1]:[156]])</f>
        <v>0</v>
      </c>
      <c r="FN28" s="447">
        <f>CEILING(טבלה8[[#This Row],[סה"כ]],8)/8</f>
        <v>0</v>
      </c>
      <c r="FO28" s="554" t="str">
        <f>טבלה8[[#This Row],[מוצר]]</f>
        <v>לחמניית צליאק</v>
      </c>
      <c r="FP28" s="554"/>
    </row>
    <row r="29" spans="1:174" ht="16.5" customHeight="1">
      <c r="A29" s="453"/>
      <c r="B29" s="453"/>
      <c r="C29" s="453"/>
      <c r="D29" s="453"/>
      <c r="E29" s="453"/>
      <c r="F29" s="453"/>
      <c r="G29" s="453"/>
      <c r="H29" s="453"/>
      <c r="I29" s="454" t="e">
        <f>SUM(I9:I28)</f>
        <v>#REF!</v>
      </c>
      <c r="J29" s="453"/>
      <c r="K29" s="453"/>
      <c r="L29" s="455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6"/>
      <c r="DB29" s="456"/>
      <c r="DC29" s="456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56"/>
      <c r="DW29" s="456"/>
      <c r="DX29" s="456"/>
      <c r="DY29" s="456"/>
      <c r="DZ29" s="456"/>
      <c r="EA29" s="456"/>
      <c r="EB29" s="456"/>
      <c r="EC29" s="456"/>
      <c r="ED29" s="456"/>
      <c r="EE29" s="456"/>
      <c r="EF29" s="456"/>
      <c r="EG29" s="456"/>
      <c r="EH29" s="456"/>
      <c r="EI29" s="456"/>
      <c r="EJ29" s="456"/>
      <c r="EK29" s="456"/>
      <c r="EL29" s="456"/>
      <c r="EM29" s="456"/>
      <c r="EN29" s="456"/>
      <c r="EO29" s="456"/>
      <c r="EP29" s="456"/>
      <c r="EQ29" s="456"/>
      <c r="ER29" s="456"/>
      <c r="ES29" s="456"/>
      <c r="ET29" s="456"/>
      <c r="EU29" s="456"/>
      <c r="EV29" s="456"/>
      <c r="EW29" s="456"/>
      <c r="EX29" s="456"/>
      <c r="EY29" s="456"/>
      <c r="EZ29" s="456"/>
      <c r="FA29" s="456"/>
      <c r="FB29" s="456"/>
      <c r="FC29" s="456"/>
      <c r="FD29" s="456"/>
      <c r="FE29" s="456"/>
      <c r="FF29" s="456"/>
      <c r="FG29" s="456"/>
      <c r="FH29" s="456"/>
      <c r="FI29" s="456"/>
      <c r="FJ29" s="456"/>
      <c r="FK29" s="456"/>
      <c r="FL29" s="456"/>
      <c r="FM29" s="737"/>
      <c r="FN29" s="737"/>
      <c r="FO29" s="737"/>
      <c r="FP29" s="737"/>
    </row>
    <row r="30" spans="1:174" ht="16.5" customHeight="1">
      <c r="A30" s="453"/>
      <c r="B30" s="453"/>
      <c r="C30" s="453"/>
      <c r="D30" s="453"/>
      <c r="E30" s="453"/>
      <c r="F30" s="453"/>
      <c r="G30" s="453"/>
      <c r="H30" s="453"/>
      <c r="I30" s="454" t="e">
        <f>I29/M4</f>
        <v>#REF!</v>
      </c>
      <c r="J30" s="453"/>
      <c r="K30" s="453"/>
      <c r="L30" s="455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6"/>
      <c r="DA30" s="456"/>
      <c r="DB30" s="456"/>
      <c r="DC30" s="456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6"/>
      <c r="DP30" s="456"/>
      <c r="DQ30" s="456"/>
      <c r="DR30" s="456"/>
      <c r="DS30" s="456"/>
      <c r="DT30" s="456"/>
      <c r="DU30" s="456"/>
      <c r="DV30" s="456"/>
      <c r="DW30" s="456"/>
      <c r="DX30" s="456"/>
      <c r="DY30" s="456"/>
      <c r="DZ30" s="456"/>
      <c r="EA30" s="456"/>
      <c r="EB30" s="456"/>
      <c r="EC30" s="456"/>
      <c r="ED30" s="456"/>
      <c r="EE30" s="456"/>
      <c r="EF30" s="456"/>
      <c r="EG30" s="456"/>
      <c r="EH30" s="456"/>
      <c r="EI30" s="456"/>
      <c r="EJ30" s="456"/>
      <c r="EK30" s="456"/>
      <c r="EL30" s="456"/>
      <c r="EM30" s="456"/>
      <c r="EN30" s="456"/>
      <c r="EO30" s="456"/>
      <c r="EP30" s="456"/>
      <c r="EQ30" s="456"/>
      <c r="ER30" s="456"/>
      <c r="ES30" s="456"/>
      <c r="ET30" s="456"/>
      <c r="EU30" s="456"/>
      <c r="EV30" s="456"/>
      <c r="EW30" s="456"/>
      <c r="EX30" s="456"/>
      <c r="EY30" s="456"/>
      <c r="EZ30" s="456"/>
      <c r="FA30" s="456"/>
      <c r="FB30" s="456"/>
      <c r="FC30" s="456"/>
      <c r="FD30" s="456"/>
      <c r="FE30" s="456"/>
      <c r="FF30" s="456"/>
      <c r="FG30" s="456"/>
      <c r="FH30" s="456"/>
      <c r="FI30" s="456"/>
      <c r="FJ30" s="456"/>
      <c r="FK30" s="456"/>
      <c r="FL30" s="456"/>
      <c r="FM30" s="737"/>
      <c r="FN30" s="737"/>
      <c r="FO30" s="737"/>
      <c r="FP30" s="737"/>
    </row>
    <row r="31" spans="1:174" ht="16.5" customHeight="1">
      <c r="A31" s="453"/>
      <c r="B31" s="453"/>
      <c r="C31" s="453"/>
      <c r="D31" s="453"/>
      <c r="E31" s="453"/>
      <c r="F31" s="453"/>
      <c r="G31" s="453"/>
      <c r="H31" s="453"/>
      <c r="I31" s="454"/>
      <c r="J31" s="453"/>
      <c r="K31" s="453"/>
      <c r="L31" s="455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/>
      <c r="CX31" s="456"/>
      <c r="CY31" s="456"/>
      <c r="CZ31" s="456"/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6"/>
      <c r="DS31" s="456"/>
      <c r="DT31" s="456"/>
      <c r="DU31" s="456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6"/>
      <c r="EH31" s="456"/>
      <c r="EI31" s="456"/>
      <c r="EJ31" s="456"/>
      <c r="EK31" s="456"/>
      <c r="EL31" s="456"/>
      <c r="EM31" s="456"/>
      <c r="EN31" s="456"/>
      <c r="EO31" s="456"/>
      <c r="EP31" s="456"/>
      <c r="EQ31" s="456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456"/>
      <c r="FC31" s="456"/>
      <c r="FD31" s="456"/>
      <c r="FE31" s="456"/>
      <c r="FF31" s="456"/>
      <c r="FG31" s="456"/>
      <c r="FH31" s="456"/>
      <c r="FI31" s="456"/>
      <c r="FJ31" s="456"/>
      <c r="FK31" s="456"/>
      <c r="FL31" s="456"/>
      <c r="FM31" s="737"/>
      <c r="FN31" s="737"/>
      <c r="FO31" s="737"/>
      <c r="FP31" s="737"/>
    </row>
    <row r="32" spans="1:174" ht="16.5" customHeight="1">
      <c r="A32" s="453"/>
      <c r="B32" s="453"/>
      <c r="C32" s="453"/>
      <c r="D32" s="453"/>
      <c r="E32" s="453"/>
      <c r="F32" s="453"/>
      <c r="G32" s="453"/>
      <c r="H32" s="453"/>
      <c r="I32" s="454"/>
      <c r="J32" s="453"/>
      <c r="K32" s="453"/>
      <c r="L32" s="455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6"/>
      <c r="CV32" s="456"/>
      <c r="CW32" s="456"/>
      <c r="CX32" s="456"/>
      <c r="CY32" s="456"/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6"/>
      <c r="EH32" s="456"/>
      <c r="EI32" s="456"/>
      <c r="EJ32" s="456"/>
      <c r="EK32" s="456"/>
      <c r="EL32" s="456"/>
      <c r="EM32" s="456"/>
      <c r="EN32" s="456"/>
      <c r="EO32" s="456"/>
      <c r="EP32" s="456"/>
      <c r="EQ32" s="456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456"/>
      <c r="FC32" s="456"/>
      <c r="FD32" s="456"/>
      <c r="FE32" s="456"/>
      <c r="FF32" s="456"/>
      <c r="FG32" s="456"/>
      <c r="FH32" s="456"/>
      <c r="FI32" s="456"/>
      <c r="FJ32" s="456"/>
      <c r="FK32" s="456"/>
      <c r="FL32" s="456"/>
      <c r="FM32" s="737"/>
      <c r="FN32" s="737"/>
      <c r="FO32" s="737"/>
      <c r="FP32" s="737"/>
    </row>
    <row r="33" spans="1:172" s="438" customFormat="1" ht="16.5" customHeight="1">
      <c r="A33" s="436" t="s">
        <v>185</v>
      </c>
      <c r="B33" s="436" t="s">
        <v>631</v>
      </c>
      <c r="C33" s="436" t="s">
        <v>179</v>
      </c>
      <c r="D33" s="436" t="s">
        <v>568</v>
      </c>
      <c r="E33" s="436" t="s">
        <v>632</v>
      </c>
      <c r="F33" s="436" t="s">
        <v>618</v>
      </c>
      <c r="G33" s="436" t="s">
        <v>621</v>
      </c>
      <c r="H33" s="436" t="s">
        <v>622</v>
      </c>
      <c r="I33" s="437" t="s">
        <v>633</v>
      </c>
      <c r="J33" s="436" t="s">
        <v>16</v>
      </c>
      <c r="K33" s="436" t="s">
        <v>10</v>
      </c>
      <c r="L33" s="436" t="s">
        <v>634</v>
      </c>
      <c r="M33" s="436" t="s">
        <v>635</v>
      </c>
      <c r="N33" s="436" t="s">
        <v>636</v>
      </c>
      <c r="O33" s="436" t="s">
        <v>637</v>
      </c>
      <c r="P33" s="436" t="s">
        <v>638</v>
      </c>
      <c r="Q33" s="436" t="s">
        <v>639</v>
      </c>
      <c r="R33" s="436" t="s">
        <v>640</v>
      </c>
      <c r="S33" s="436" t="s">
        <v>641</v>
      </c>
      <c r="T33" s="436" t="s">
        <v>642</v>
      </c>
      <c r="U33" s="436" t="s">
        <v>643</v>
      </c>
      <c r="V33" s="436" t="s">
        <v>644</v>
      </c>
      <c r="W33" s="436" t="s">
        <v>645</v>
      </c>
      <c r="X33" s="436" t="s">
        <v>646</v>
      </c>
      <c r="Y33" s="436" t="s">
        <v>647</v>
      </c>
      <c r="Z33" s="436" t="s">
        <v>648</v>
      </c>
      <c r="AA33" s="436" t="s">
        <v>649</v>
      </c>
      <c r="AB33" s="436" t="s">
        <v>650</v>
      </c>
      <c r="AC33" s="436" t="s">
        <v>651</v>
      </c>
      <c r="AD33" s="436" t="s">
        <v>652</v>
      </c>
      <c r="AE33" s="436" t="s">
        <v>653</v>
      </c>
      <c r="AF33" s="436" t="s">
        <v>654</v>
      </c>
      <c r="AG33" s="436" t="s">
        <v>655</v>
      </c>
      <c r="AH33" s="436" t="s">
        <v>656</v>
      </c>
      <c r="AI33" s="436" t="s">
        <v>657</v>
      </c>
      <c r="AJ33" s="436" t="s">
        <v>658</v>
      </c>
      <c r="AK33" s="436" t="s">
        <v>659</v>
      </c>
      <c r="AL33" s="436" t="s">
        <v>660</v>
      </c>
      <c r="AM33" s="436" t="s">
        <v>661</v>
      </c>
      <c r="AN33" s="436" t="s">
        <v>662</v>
      </c>
      <c r="AO33" s="436" t="s">
        <v>698</v>
      </c>
      <c r="AP33" s="436" t="s">
        <v>663</v>
      </c>
      <c r="AQ33" s="436" t="s">
        <v>664</v>
      </c>
      <c r="AR33" s="436" t="s">
        <v>665</v>
      </c>
      <c r="AS33" s="436" t="s">
        <v>666</v>
      </c>
      <c r="AT33" s="436" t="s">
        <v>699</v>
      </c>
      <c r="AU33" s="436" t="s">
        <v>749</v>
      </c>
      <c r="AV33" s="436" t="s">
        <v>750</v>
      </c>
      <c r="AW33" s="436" t="s">
        <v>751</v>
      </c>
      <c r="AX33" s="436" t="s">
        <v>752</v>
      </c>
      <c r="AY33" s="436" t="s">
        <v>753</v>
      </c>
      <c r="AZ33" s="436" t="s">
        <v>754</v>
      </c>
      <c r="BA33" s="436" t="s">
        <v>755</v>
      </c>
      <c r="BB33" s="436" t="s">
        <v>748</v>
      </c>
      <c r="BC33" s="436" t="s">
        <v>756</v>
      </c>
      <c r="BD33" s="436" t="s">
        <v>757</v>
      </c>
      <c r="BE33" s="436" t="s">
        <v>758</v>
      </c>
      <c r="BF33" s="436" t="s">
        <v>759</v>
      </c>
      <c r="BG33" s="436" t="s">
        <v>760</v>
      </c>
      <c r="BH33" s="436" t="s">
        <v>761</v>
      </c>
      <c r="BI33" s="436" t="s">
        <v>762</v>
      </c>
      <c r="BJ33" s="436" t="s">
        <v>763</v>
      </c>
      <c r="BK33" s="436" t="s">
        <v>764</v>
      </c>
      <c r="BL33" s="436" t="s">
        <v>765</v>
      </c>
      <c r="BM33" s="436" t="s">
        <v>766</v>
      </c>
      <c r="BN33" s="436" t="s">
        <v>767</v>
      </c>
      <c r="BO33" s="436" t="s">
        <v>768</v>
      </c>
      <c r="BP33" s="436" t="s">
        <v>769</v>
      </c>
      <c r="BQ33" s="436" t="s">
        <v>770</v>
      </c>
      <c r="BR33" s="436" t="s">
        <v>771</v>
      </c>
      <c r="BS33" s="436" t="s">
        <v>772</v>
      </c>
      <c r="BT33" s="436" t="s">
        <v>773</v>
      </c>
      <c r="BU33" s="436" t="s">
        <v>774</v>
      </c>
      <c r="BV33" s="436" t="s">
        <v>775</v>
      </c>
      <c r="BW33" s="436" t="s">
        <v>776</v>
      </c>
      <c r="BX33" s="436" t="s">
        <v>777</v>
      </c>
      <c r="BY33" s="436" t="s">
        <v>778</v>
      </c>
      <c r="BZ33" s="436" t="s">
        <v>779</v>
      </c>
      <c r="CA33" s="436" t="s">
        <v>780</v>
      </c>
      <c r="CB33" s="436" t="s">
        <v>781</v>
      </c>
      <c r="CC33" s="436" t="s">
        <v>782</v>
      </c>
      <c r="CD33" s="436" t="s">
        <v>783</v>
      </c>
      <c r="CE33" s="436" t="s">
        <v>784</v>
      </c>
      <c r="CF33" s="436" t="s">
        <v>785</v>
      </c>
      <c r="CG33" s="436" t="s">
        <v>786</v>
      </c>
      <c r="CH33" s="436" t="s">
        <v>787</v>
      </c>
      <c r="CI33" s="436" t="s">
        <v>788</v>
      </c>
      <c r="CJ33" s="436" t="s">
        <v>789</v>
      </c>
      <c r="CK33" s="436" t="s">
        <v>808</v>
      </c>
      <c r="CL33" s="436" t="s">
        <v>809</v>
      </c>
      <c r="CM33" s="436" t="s">
        <v>810</v>
      </c>
      <c r="CN33" s="436" t="s">
        <v>811</v>
      </c>
      <c r="CO33" s="436" t="s">
        <v>812</v>
      </c>
      <c r="CP33" s="436" t="s">
        <v>813</v>
      </c>
      <c r="CQ33" s="436" t="s">
        <v>814</v>
      </c>
      <c r="CR33" s="436" t="s">
        <v>815</v>
      </c>
      <c r="CS33" s="436" t="s">
        <v>816</v>
      </c>
      <c r="CT33" s="436" t="s">
        <v>817</v>
      </c>
      <c r="CU33" s="436" t="s">
        <v>818</v>
      </c>
      <c r="CV33" s="436" t="s">
        <v>819</v>
      </c>
      <c r="CW33" s="436" t="s">
        <v>820</v>
      </c>
      <c r="CX33" s="436" t="s">
        <v>821</v>
      </c>
      <c r="CY33" s="436" t="s">
        <v>822</v>
      </c>
      <c r="CZ33" s="436" t="s">
        <v>823</v>
      </c>
      <c r="DA33" s="436" t="s">
        <v>824</v>
      </c>
      <c r="DB33" s="436" t="s">
        <v>825</v>
      </c>
      <c r="DC33" s="436" t="s">
        <v>826</v>
      </c>
      <c r="DD33" s="436" t="s">
        <v>827</v>
      </c>
      <c r="DE33" s="436" t="s">
        <v>828</v>
      </c>
      <c r="DF33" s="436" t="s">
        <v>829</v>
      </c>
      <c r="DG33" s="436" t="s">
        <v>830</v>
      </c>
      <c r="DH33" s="436" t="s">
        <v>831</v>
      </c>
      <c r="DI33" s="436" t="s">
        <v>832</v>
      </c>
      <c r="DJ33" s="436" t="s">
        <v>833</v>
      </c>
      <c r="DK33" s="436" t="s">
        <v>834</v>
      </c>
      <c r="DL33" s="436" t="s">
        <v>835</v>
      </c>
      <c r="DM33" s="436" t="s">
        <v>836</v>
      </c>
      <c r="DN33" s="436" t="s">
        <v>837</v>
      </c>
      <c r="DO33" s="436" t="s">
        <v>838</v>
      </c>
      <c r="DP33" s="436" t="s">
        <v>839</v>
      </c>
      <c r="DQ33" s="436" t="s">
        <v>840</v>
      </c>
      <c r="DR33" s="436" t="s">
        <v>841</v>
      </c>
      <c r="DS33" s="436" t="s">
        <v>842</v>
      </c>
      <c r="DT33" s="436" t="s">
        <v>843</v>
      </c>
      <c r="DU33" s="436" t="s">
        <v>844</v>
      </c>
      <c r="DV33" s="436" t="s">
        <v>845</v>
      </c>
      <c r="DW33" s="436" t="s">
        <v>846</v>
      </c>
      <c r="DX33" s="436" t="s">
        <v>847</v>
      </c>
      <c r="DY33" s="436" t="s">
        <v>848</v>
      </c>
      <c r="DZ33" s="436" t="s">
        <v>849</v>
      </c>
      <c r="EA33" s="436" t="s">
        <v>850</v>
      </c>
      <c r="EB33" s="436" t="s">
        <v>851</v>
      </c>
      <c r="EC33" s="436" t="s">
        <v>852</v>
      </c>
      <c r="ED33" s="436" t="s">
        <v>853</v>
      </c>
      <c r="EE33" s="436" t="s">
        <v>854</v>
      </c>
      <c r="EF33" s="436" t="s">
        <v>855</v>
      </c>
      <c r="EG33" s="436" t="s">
        <v>856</v>
      </c>
      <c r="EH33" s="436" t="s">
        <v>857</v>
      </c>
      <c r="EI33" s="436" t="s">
        <v>858</v>
      </c>
      <c r="EJ33" s="436" t="s">
        <v>859</v>
      </c>
      <c r="EK33" s="436" t="s">
        <v>860</v>
      </c>
      <c r="EL33" s="436" t="s">
        <v>861</v>
      </c>
      <c r="EM33" s="436" t="s">
        <v>862</v>
      </c>
      <c r="EN33" s="436" t="s">
        <v>790</v>
      </c>
      <c r="EO33" s="436" t="s">
        <v>791</v>
      </c>
      <c r="EP33" s="436" t="s">
        <v>792</v>
      </c>
      <c r="EQ33" s="436" t="s">
        <v>793</v>
      </c>
      <c r="ER33" s="436" t="s">
        <v>794</v>
      </c>
      <c r="ES33" s="436" t="s">
        <v>795</v>
      </c>
      <c r="ET33" s="436" t="s">
        <v>796</v>
      </c>
      <c r="EU33" s="436" t="s">
        <v>797</v>
      </c>
      <c r="EV33" s="436" t="s">
        <v>798</v>
      </c>
      <c r="EW33" s="436" t="s">
        <v>799</v>
      </c>
      <c r="EX33" s="436" t="s">
        <v>800</v>
      </c>
      <c r="EY33" s="436" t="s">
        <v>863</v>
      </c>
      <c r="EZ33" s="436" t="s">
        <v>864</v>
      </c>
      <c r="FA33" s="436" t="s">
        <v>865</v>
      </c>
      <c r="FB33" s="436" t="s">
        <v>866</v>
      </c>
      <c r="FC33" s="436" t="s">
        <v>867</v>
      </c>
      <c r="FD33" s="436" t="s">
        <v>868</v>
      </c>
      <c r="FE33" s="436" t="s">
        <v>869</v>
      </c>
      <c r="FF33" s="436" t="s">
        <v>870</v>
      </c>
      <c r="FG33" s="436" t="s">
        <v>871</v>
      </c>
      <c r="FH33" s="436" t="s">
        <v>872</v>
      </c>
      <c r="FI33" s="436" t="s">
        <v>873</v>
      </c>
      <c r="FJ33" s="436" t="s">
        <v>874</v>
      </c>
      <c r="FK33" s="436" t="s">
        <v>875</v>
      </c>
      <c r="FL33" s="436" t="s">
        <v>876</v>
      </c>
      <c r="FM33" s="436" t="s">
        <v>22</v>
      </c>
      <c r="FN33" s="436" t="s">
        <v>667</v>
      </c>
      <c r="FO33" s="512" t="s">
        <v>487</v>
      </c>
      <c r="FP33" s="512" t="s">
        <v>488</v>
      </c>
    </row>
    <row r="34" spans="1:172" s="231" customFormat="1" ht="16.5" customHeight="1">
      <c r="A34" s="457" t="s">
        <v>668</v>
      </c>
      <c r="B34" s="457">
        <v>0</v>
      </c>
      <c r="C34" s="457">
        <v>3071</v>
      </c>
      <c r="D34" s="427" t="e">
        <f>SUMIF([2]!טבלה6[קוד מוצר],C34,[2]!טבלה6[מחיר לקוח])</f>
        <v>#REF!</v>
      </c>
      <c r="E34" s="457">
        <v>1</v>
      </c>
      <c r="F34" s="458" t="e">
        <f>D34/E34</f>
        <v>#REF!</v>
      </c>
      <c r="G34" s="459">
        <v>0.17</v>
      </c>
      <c r="H34" s="458" t="e">
        <f>'בוקר צהרים קיטים '!$F34*'בוקר צהרים קיטים '!$G34</f>
        <v>#REF!</v>
      </c>
      <c r="I34" s="460" t="e">
        <f t="shared" ref="I34:I53" si="60">(H34+F34)*M34</f>
        <v>#REF!</v>
      </c>
      <c r="J34" s="294" t="s">
        <v>354</v>
      </c>
      <c r="K34" s="444" t="s">
        <v>700</v>
      </c>
      <c r="L34" s="449">
        <f>2/30</f>
        <v>6.6666666666666666E-2</v>
      </c>
      <c r="M34" s="202">
        <f t="shared" ref="M34:Q35" si="61">ROUNDUP($L34*M$4,0)</f>
        <v>0</v>
      </c>
      <c r="N34" s="202">
        <f t="shared" si="61"/>
        <v>0</v>
      </c>
      <c r="O34" s="202">
        <f t="shared" si="61"/>
        <v>0</v>
      </c>
      <c r="P34" s="202">
        <f t="shared" si="61"/>
        <v>0</v>
      </c>
      <c r="Q34" s="202">
        <f t="shared" si="61"/>
        <v>0</v>
      </c>
      <c r="R34" s="202">
        <f t="shared" ref="R34:BY36" si="62">ROUNDUP($L34*R$4,0)</f>
        <v>0</v>
      </c>
      <c r="S34" s="202">
        <f t="shared" si="62"/>
        <v>0</v>
      </c>
      <c r="T34" s="202">
        <f t="shared" si="62"/>
        <v>0</v>
      </c>
      <c r="U34" s="202">
        <f t="shared" si="62"/>
        <v>0</v>
      </c>
      <c r="V34" s="202">
        <f t="shared" si="62"/>
        <v>0</v>
      </c>
      <c r="W34" s="202">
        <f t="shared" si="62"/>
        <v>0</v>
      </c>
      <c r="X34" s="202">
        <f t="shared" si="62"/>
        <v>0</v>
      </c>
      <c r="Y34" s="202">
        <f t="shared" si="62"/>
        <v>0</v>
      </c>
      <c r="Z34" s="202">
        <f t="shared" si="62"/>
        <v>0</v>
      </c>
      <c r="AA34" s="202">
        <f t="shared" si="62"/>
        <v>0</v>
      </c>
      <c r="AB34" s="202">
        <f t="shared" si="62"/>
        <v>0</v>
      </c>
      <c r="AC34" s="202">
        <f t="shared" si="62"/>
        <v>0</v>
      </c>
      <c r="AD34" s="202">
        <f t="shared" si="62"/>
        <v>0</v>
      </c>
      <c r="AE34" s="202">
        <f t="shared" si="62"/>
        <v>0</v>
      </c>
      <c r="AF34" s="202">
        <f t="shared" si="62"/>
        <v>0</v>
      </c>
      <c r="AG34" s="202">
        <f t="shared" si="62"/>
        <v>0</v>
      </c>
      <c r="AH34" s="202">
        <f t="shared" si="62"/>
        <v>0</v>
      </c>
      <c r="AI34" s="202">
        <f t="shared" si="62"/>
        <v>0</v>
      </c>
      <c r="AJ34" s="202">
        <f t="shared" si="62"/>
        <v>0</v>
      </c>
      <c r="AK34" s="202">
        <f t="shared" si="62"/>
        <v>0</v>
      </c>
      <c r="AL34" s="202">
        <f t="shared" si="62"/>
        <v>0</v>
      </c>
      <c r="AM34" s="202">
        <f t="shared" si="62"/>
        <v>0</v>
      </c>
      <c r="AN34" s="202">
        <f t="shared" si="62"/>
        <v>0</v>
      </c>
      <c r="AO34" s="202">
        <f t="shared" si="62"/>
        <v>0</v>
      </c>
      <c r="AP34" s="202">
        <f t="shared" si="62"/>
        <v>0</v>
      </c>
      <c r="AQ34" s="202">
        <f t="shared" si="62"/>
        <v>0</v>
      </c>
      <c r="AR34" s="202">
        <f t="shared" si="62"/>
        <v>0</v>
      </c>
      <c r="AS34" s="202">
        <f t="shared" si="62"/>
        <v>0</v>
      </c>
      <c r="AT34" s="202">
        <f t="shared" si="62"/>
        <v>0</v>
      </c>
      <c r="AU34" s="202">
        <f t="shared" si="62"/>
        <v>0</v>
      </c>
      <c r="AV34" s="202">
        <f t="shared" si="62"/>
        <v>0</v>
      </c>
      <c r="AW34" s="202">
        <f t="shared" si="62"/>
        <v>0</v>
      </c>
      <c r="AX34" s="202">
        <f t="shared" si="62"/>
        <v>0</v>
      </c>
      <c r="AY34" s="202">
        <f t="shared" si="62"/>
        <v>0</v>
      </c>
      <c r="AZ34" s="202">
        <f t="shared" ref="AZ34:BA43" si="63">ROUNDUP($L34*AZ$4,0)</f>
        <v>0</v>
      </c>
      <c r="BA34" s="202">
        <f t="shared" si="63"/>
        <v>0</v>
      </c>
      <c r="BB34" s="202">
        <f t="shared" ref="BB34:BI43" si="64">ROUNDUP($L34*BB$4,0)</f>
        <v>0</v>
      </c>
      <c r="BC34" s="202">
        <f t="shared" si="64"/>
        <v>0</v>
      </c>
      <c r="BD34" s="202">
        <f t="shared" si="64"/>
        <v>0</v>
      </c>
      <c r="BE34" s="202">
        <f t="shared" si="64"/>
        <v>0</v>
      </c>
      <c r="BF34" s="202">
        <f t="shared" si="64"/>
        <v>0</v>
      </c>
      <c r="BG34" s="202">
        <f t="shared" si="64"/>
        <v>0</v>
      </c>
      <c r="BH34" s="202">
        <f t="shared" si="64"/>
        <v>0</v>
      </c>
      <c r="BI34" s="202">
        <f t="shared" si="64"/>
        <v>0</v>
      </c>
      <c r="BJ34" s="202">
        <f t="shared" si="62"/>
        <v>0</v>
      </c>
      <c r="BK34" s="202">
        <f t="shared" si="62"/>
        <v>0</v>
      </c>
      <c r="BL34" s="202">
        <f t="shared" si="62"/>
        <v>0</v>
      </c>
      <c r="BM34" s="202">
        <f t="shared" si="62"/>
        <v>0</v>
      </c>
      <c r="BN34" s="202">
        <f t="shared" si="62"/>
        <v>0</v>
      </c>
      <c r="BO34" s="202">
        <f t="shared" si="62"/>
        <v>0</v>
      </c>
      <c r="BP34" s="202">
        <f t="shared" si="62"/>
        <v>0</v>
      </c>
      <c r="BQ34" s="202">
        <f t="shared" si="62"/>
        <v>0</v>
      </c>
      <c r="BR34" s="202">
        <f t="shared" si="62"/>
        <v>0</v>
      </c>
      <c r="BS34" s="202">
        <f t="shared" si="62"/>
        <v>0</v>
      </c>
      <c r="BT34" s="202">
        <f t="shared" si="62"/>
        <v>0</v>
      </c>
      <c r="BU34" s="202">
        <f t="shared" si="62"/>
        <v>0</v>
      </c>
      <c r="BV34" s="202">
        <f t="shared" si="62"/>
        <v>0</v>
      </c>
      <c r="BW34" s="202">
        <f t="shared" si="62"/>
        <v>0</v>
      </c>
      <c r="BX34" s="202">
        <f t="shared" si="62"/>
        <v>0</v>
      </c>
      <c r="BY34" s="202">
        <f t="shared" si="62"/>
        <v>0</v>
      </c>
      <c r="BZ34" s="202">
        <f t="shared" ref="BZ34:EK37" si="65">ROUNDUP($L34*BZ$4,0)</f>
        <v>0</v>
      </c>
      <c r="CA34" s="202">
        <f t="shared" si="65"/>
        <v>0</v>
      </c>
      <c r="CB34" s="202">
        <f t="shared" si="65"/>
        <v>0</v>
      </c>
      <c r="CC34" s="202">
        <f t="shared" si="65"/>
        <v>0</v>
      </c>
      <c r="CD34" s="202">
        <f t="shared" si="65"/>
        <v>0</v>
      </c>
      <c r="CE34" s="202">
        <f t="shared" si="65"/>
        <v>0</v>
      </c>
      <c r="CF34" s="202">
        <f t="shared" si="65"/>
        <v>0</v>
      </c>
      <c r="CG34" s="202">
        <f t="shared" si="65"/>
        <v>0</v>
      </c>
      <c r="CH34" s="202">
        <f t="shared" si="65"/>
        <v>0</v>
      </c>
      <c r="CI34" s="202">
        <f t="shared" si="65"/>
        <v>0</v>
      </c>
      <c r="CJ34" s="202">
        <f t="shared" si="65"/>
        <v>0</v>
      </c>
      <c r="CK34" s="202">
        <f t="shared" si="65"/>
        <v>0</v>
      </c>
      <c r="CL34" s="202">
        <f t="shared" si="65"/>
        <v>0</v>
      </c>
      <c r="CM34" s="202">
        <f t="shared" si="65"/>
        <v>0</v>
      </c>
      <c r="CN34" s="202">
        <f t="shared" si="65"/>
        <v>0</v>
      </c>
      <c r="CO34" s="202">
        <f t="shared" si="65"/>
        <v>0</v>
      </c>
      <c r="CP34" s="202">
        <f t="shared" si="65"/>
        <v>0</v>
      </c>
      <c r="CQ34" s="202">
        <f t="shared" si="65"/>
        <v>0</v>
      </c>
      <c r="CR34" s="202">
        <f t="shared" si="65"/>
        <v>0</v>
      </c>
      <c r="CS34" s="202">
        <f t="shared" si="65"/>
        <v>0</v>
      </c>
      <c r="CT34" s="202">
        <f t="shared" si="65"/>
        <v>0</v>
      </c>
      <c r="CU34" s="202">
        <f t="shared" si="65"/>
        <v>0</v>
      </c>
      <c r="CV34" s="202">
        <f t="shared" si="65"/>
        <v>0</v>
      </c>
      <c r="CW34" s="202">
        <f t="shared" si="65"/>
        <v>0</v>
      </c>
      <c r="CX34" s="202">
        <f t="shared" si="65"/>
        <v>0</v>
      </c>
      <c r="CY34" s="202">
        <f t="shared" si="65"/>
        <v>0</v>
      </c>
      <c r="CZ34" s="202">
        <f t="shared" si="65"/>
        <v>0</v>
      </c>
      <c r="DA34" s="202">
        <f t="shared" si="65"/>
        <v>0</v>
      </c>
      <c r="DB34" s="202">
        <f t="shared" si="65"/>
        <v>0</v>
      </c>
      <c r="DC34" s="202">
        <f t="shared" si="65"/>
        <v>0</v>
      </c>
      <c r="DD34" s="202">
        <f t="shared" si="65"/>
        <v>0</v>
      </c>
      <c r="DE34" s="202">
        <f t="shared" si="65"/>
        <v>0</v>
      </c>
      <c r="DF34" s="202">
        <f t="shared" si="65"/>
        <v>0</v>
      </c>
      <c r="DG34" s="202">
        <f t="shared" si="65"/>
        <v>0</v>
      </c>
      <c r="DH34" s="202">
        <f t="shared" si="65"/>
        <v>0</v>
      </c>
      <c r="DI34" s="202">
        <f t="shared" si="65"/>
        <v>0</v>
      </c>
      <c r="DJ34" s="202">
        <f t="shared" si="65"/>
        <v>0</v>
      </c>
      <c r="DK34" s="202">
        <f t="shared" si="65"/>
        <v>0</v>
      </c>
      <c r="DL34" s="202">
        <f t="shared" si="65"/>
        <v>0</v>
      </c>
      <c r="DM34" s="202">
        <f t="shared" si="65"/>
        <v>0</v>
      </c>
      <c r="DN34" s="202">
        <f t="shared" si="65"/>
        <v>0</v>
      </c>
      <c r="DO34" s="202">
        <f t="shared" si="65"/>
        <v>0</v>
      </c>
      <c r="DP34" s="202">
        <f t="shared" si="65"/>
        <v>0</v>
      </c>
      <c r="DQ34" s="202">
        <f t="shared" si="65"/>
        <v>0</v>
      </c>
      <c r="DR34" s="202">
        <f t="shared" si="65"/>
        <v>0</v>
      </c>
      <c r="DS34" s="202">
        <f t="shared" si="65"/>
        <v>0</v>
      </c>
      <c r="DT34" s="202">
        <f t="shared" si="65"/>
        <v>0</v>
      </c>
      <c r="DU34" s="202">
        <f t="shared" si="65"/>
        <v>0</v>
      </c>
      <c r="DV34" s="202">
        <f t="shared" si="65"/>
        <v>0</v>
      </c>
      <c r="DW34" s="202">
        <f t="shared" si="65"/>
        <v>0</v>
      </c>
      <c r="DX34" s="202">
        <f t="shared" si="65"/>
        <v>0</v>
      </c>
      <c r="DY34" s="202">
        <f t="shared" si="65"/>
        <v>0</v>
      </c>
      <c r="DZ34" s="202">
        <f t="shared" si="65"/>
        <v>0</v>
      </c>
      <c r="EA34" s="202">
        <f t="shared" si="65"/>
        <v>0</v>
      </c>
      <c r="EB34" s="202">
        <f t="shared" si="65"/>
        <v>0</v>
      </c>
      <c r="EC34" s="202">
        <f t="shared" si="65"/>
        <v>0</v>
      </c>
      <c r="ED34" s="202">
        <f t="shared" si="65"/>
        <v>0</v>
      </c>
      <c r="EE34" s="202">
        <f t="shared" si="65"/>
        <v>0</v>
      </c>
      <c r="EF34" s="202">
        <f t="shared" si="65"/>
        <v>0</v>
      </c>
      <c r="EG34" s="202">
        <f t="shared" si="65"/>
        <v>0</v>
      </c>
      <c r="EH34" s="202">
        <f t="shared" si="65"/>
        <v>0</v>
      </c>
      <c r="EI34" s="202">
        <f t="shared" si="65"/>
        <v>0</v>
      </c>
      <c r="EJ34" s="202">
        <f t="shared" si="65"/>
        <v>0</v>
      </c>
      <c r="EK34" s="202">
        <f t="shared" si="65"/>
        <v>0</v>
      </c>
      <c r="EL34" s="202">
        <f t="shared" ref="EL34:FL36" si="66">ROUNDUP($L34*EL$4,0)</f>
        <v>0</v>
      </c>
      <c r="EM34" s="202">
        <f t="shared" si="66"/>
        <v>0</v>
      </c>
      <c r="EN34" s="202">
        <f t="shared" si="66"/>
        <v>0</v>
      </c>
      <c r="EO34" s="202">
        <f t="shared" si="66"/>
        <v>0</v>
      </c>
      <c r="EP34" s="202">
        <f t="shared" si="66"/>
        <v>0</v>
      </c>
      <c r="EQ34" s="202">
        <f t="shared" si="66"/>
        <v>0</v>
      </c>
      <c r="ER34" s="202">
        <f t="shared" si="66"/>
        <v>0</v>
      </c>
      <c r="ES34" s="202">
        <f t="shared" si="66"/>
        <v>0</v>
      </c>
      <c r="ET34" s="202">
        <f t="shared" si="66"/>
        <v>0</v>
      </c>
      <c r="EU34" s="202">
        <f t="shared" si="66"/>
        <v>0</v>
      </c>
      <c r="EV34" s="202">
        <f t="shared" si="66"/>
        <v>0</v>
      </c>
      <c r="EW34" s="202">
        <f t="shared" si="66"/>
        <v>0</v>
      </c>
      <c r="EX34" s="202">
        <f t="shared" si="66"/>
        <v>0</v>
      </c>
      <c r="EY34" s="202">
        <f t="shared" si="66"/>
        <v>0</v>
      </c>
      <c r="EZ34" s="202">
        <f t="shared" si="66"/>
        <v>0</v>
      </c>
      <c r="FA34" s="202">
        <f t="shared" si="66"/>
        <v>0</v>
      </c>
      <c r="FB34" s="202">
        <f t="shared" si="66"/>
        <v>0</v>
      </c>
      <c r="FC34" s="202">
        <f t="shared" si="66"/>
        <v>0</v>
      </c>
      <c r="FD34" s="202">
        <f t="shared" si="66"/>
        <v>0</v>
      </c>
      <c r="FE34" s="202">
        <f t="shared" si="66"/>
        <v>0</v>
      </c>
      <c r="FF34" s="202">
        <f t="shared" si="66"/>
        <v>0</v>
      </c>
      <c r="FG34" s="202">
        <f t="shared" si="66"/>
        <v>0</v>
      </c>
      <c r="FH34" s="202">
        <f t="shared" si="66"/>
        <v>0</v>
      </c>
      <c r="FI34" s="202">
        <f t="shared" si="66"/>
        <v>0</v>
      </c>
      <c r="FJ34" s="202">
        <f t="shared" si="66"/>
        <v>0</v>
      </c>
      <c r="FK34" s="202">
        <f t="shared" si="66"/>
        <v>0</v>
      </c>
      <c r="FL34" s="202">
        <f t="shared" si="66"/>
        <v>0</v>
      </c>
      <c r="FM34" s="202">
        <f>SUM(טבלה15[[#This Row],[1]:[156]])</f>
        <v>0</v>
      </c>
      <c r="FN34" s="447">
        <f>טבלה15[[#This Row],[סה"כ]]</f>
        <v>0</v>
      </c>
      <c r="FO34" s="220" t="str">
        <f>טבלה15[[#This Row],[מוצר]]</f>
        <v>שעועית לבנה אפויה - A2</v>
      </c>
      <c r="FP34" s="220"/>
    </row>
    <row r="35" spans="1:172" ht="16.5" customHeight="1">
      <c r="A35" s="203" t="s">
        <v>668</v>
      </c>
      <c r="B35" s="203">
        <v>1</v>
      </c>
      <c r="C35" s="203">
        <v>2449</v>
      </c>
      <c r="D35" s="427" t="e">
        <f>SUMIF([2]!טבלה6[קוד מוצר],C35,[2]!טבלה6[מחיר לקוח])</f>
        <v>#REF!</v>
      </c>
      <c r="E35" s="203">
        <v>1</v>
      </c>
      <c r="F35" s="458" t="e">
        <f>D35/E35</f>
        <v>#REF!</v>
      </c>
      <c r="G35" s="461">
        <v>0.17</v>
      </c>
      <c r="H35" s="458" t="e">
        <f>'בוקר צהרים קיטים '!$F35*'בוקר צהרים קיטים '!$G35</f>
        <v>#REF!</v>
      </c>
      <c r="I35" s="460" t="e">
        <f t="shared" si="60"/>
        <v>#REF!</v>
      </c>
      <c r="J35" s="440" t="s">
        <v>933</v>
      </c>
      <c r="K35" s="444" t="s">
        <v>700</v>
      </c>
      <c r="L35" s="449">
        <f>2/30</f>
        <v>6.6666666666666666E-2</v>
      </c>
      <c r="M35" s="202">
        <f t="shared" si="61"/>
        <v>0</v>
      </c>
      <c r="N35" s="202">
        <f t="shared" si="61"/>
        <v>0</v>
      </c>
      <c r="O35" s="202">
        <f t="shared" si="61"/>
        <v>0</v>
      </c>
      <c r="P35" s="202">
        <f t="shared" si="61"/>
        <v>0</v>
      </c>
      <c r="Q35" s="202">
        <f t="shared" si="61"/>
        <v>0</v>
      </c>
      <c r="R35" s="202">
        <f t="shared" si="62"/>
        <v>0</v>
      </c>
      <c r="S35" s="202">
        <f t="shared" si="62"/>
        <v>0</v>
      </c>
      <c r="T35" s="202">
        <f t="shared" si="62"/>
        <v>0</v>
      </c>
      <c r="U35" s="202">
        <f t="shared" si="62"/>
        <v>0</v>
      </c>
      <c r="V35" s="202">
        <f t="shared" si="62"/>
        <v>0</v>
      </c>
      <c r="W35" s="202">
        <f t="shared" si="62"/>
        <v>0</v>
      </c>
      <c r="X35" s="202">
        <f t="shared" si="62"/>
        <v>0</v>
      </c>
      <c r="Y35" s="202">
        <f t="shared" si="62"/>
        <v>0</v>
      </c>
      <c r="Z35" s="202">
        <f t="shared" si="62"/>
        <v>0</v>
      </c>
      <c r="AA35" s="202">
        <f t="shared" si="62"/>
        <v>0</v>
      </c>
      <c r="AB35" s="202">
        <f t="shared" si="62"/>
        <v>0</v>
      </c>
      <c r="AC35" s="202">
        <f t="shared" si="62"/>
        <v>0</v>
      </c>
      <c r="AD35" s="202">
        <f t="shared" si="62"/>
        <v>0</v>
      </c>
      <c r="AE35" s="202">
        <f t="shared" si="62"/>
        <v>0</v>
      </c>
      <c r="AF35" s="202">
        <f t="shared" si="62"/>
        <v>0</v>
      </c>
      <c r="AG35" s="202">
        <f t="shared" si="62"/>
        <v>0</v>
      </c>
      <c r="AH35" s="202">
        <f t="shared" si="62"/>
        <v>0</v>
      </c>
      <c r="AI35" s="202">
        <f t="shared" si="62"/>
        <v>0</v>
      </c>
      <c r="AJ35" s="202">
        <f t="shared" si="62"/>
        <v>0</v>
      </c>
      <c r="AK35" s="202">
        <f t="shared" si="62"/>
        <v>0</v>
      </c>
      <c r="AL35" s="202">
        <f t="shared" si="62"/>
        <v>0</v>
      </c>
      <c r="AM35" s="202">
        <f t="shared" si="62"/>
        <v>0</v>
      </c>
      <c r="AN35" s="202">
        <f t="shared" si="62"/>
        <v>0</v>
      </c>
      <c r="AO35" s="202">
        <f t="shared" si="62"/>
        <v>0</v>
      </c>
      <c r="AP35" s="202">
        <f t="shared" si="62"/>
        <v>0</v>
      </c>
      <c r="AQ35" s="202">
        <f t="shared" si="62"/>
        <v>0</v>
      </c>
      <c r="AR35" s="202">
        <f t="shared" si="62"/>
        <v>0</v>
      </c>
      <c r="AS35" s="202">
        <f t="shared" si="62"/>
        <v>0</v>
      </c>
      <c r="AT35" s="202">
        <f t="shared" si="62"/>
        <v>0</v>
      </c>
      <c r="AU35" s="202">
        <f t="shared" si="62"/>
        <v>0</v>
      </c>
      <c r="AV35" s="202">
        <f t="shared" si="62"/>
        <v>0</v>
      </c>
      <c r="AW35" s="202">
        <f t="shared" si="62"/>
        <v>0</v>
      </c>
      <c r="AX35" s="202">
        <f t="shared" si="62"/>
        <v>0</v>
      </c>
      <c r="AY35" s="202">
        <f t="shared" si="62"/>
        <v>0</v>
      </c>
      <c r="AZ35" s="202">
        <f t="shared" si="63"/>
        <v>0</v>
      </c>
      <c r="BA35" s="202">
        <f t="shared" si="63"/>
        <v>0</v>
      </c>
      <c r="BB35" s="202">
        <f t="shared" si="64"/>
        <v>0</v>
      </c>
      <c r="BC35" s="202">
        <f t="shared" si="64"/>
        <v>0</v>
      </c>
      <c r="BD35" s="202">
        <f t="shared" si="64"/>
        <v>0</v>
      </c>
      <c r="BE35" s="202">
        <f t="shared" si="64"/>
        <v>0</v>
      </c>
      <c r="BF35" s="202">
        <f t="shared" si="64"/>
        <v>0</v>
      </c>
      <c r="BG35" s="202">
        <f t="shared" si="64"/>
        <v>0</v>
      </c>
      <c r="BH35" s="202">
        <f t="shared" si="64"/>
        <v>0</v>
      </c>
      <c r="BI35" s="202">
        <f t="shared" si="64"/>
        <v>0</v>
      </c>
      <c r="BJ35" s="202">
        <f t="shared" si="62"/>
        <v>0</v>
      </c>
      <c r="BK35" s="202">
        <f t="shared" si="62"/>
        <v>0</v>
      </c>
      <c r="BL35" s="202">
        <f t="shared" si="62"/>
        <v>0</v>
      </c>
      <c r="BM35" s="202">
        <f t="shared" si="62"/>
        <v>0</v>
      </c>
      <c r="BN35" s="202">
        <f t="shared" si="62"/>
        <v>0</v>
      </c>
      <c r="BO35" s="202">
        <f t="shared" si="62"/>
        <v>0</v>
      </c>
      <c r="BP35" s="202">
        <f t="shared" si="62"/>
        <v>0</v>
      </c>
      <c r="BQ35" s="202">
        <f t="shared" si="62"/>
        <v>0</v>
      </c>
      <c r="BR35" s="202">
        <f t="shared" si="62"/>
        <v>0</v>
      </c>
      <c r="BS35" s="202">
        <f t="shared" si="62"/>
        <v>0</v>
      </c>
      <c r="BT35" s="202">
        <f t="shared" si="62"/>
        <v>0</v>
      </c>
      <c r="BU35" s="202">
        <f t="shared" si="62"/>
        <v>0</v>
      </c>
      <c r="BV35" s="202">
        <f t="shared" si="62"/>
        <v>0</v>
      </c>
      <c r="BW35" s="202">
        <f t="shared" si="62"/>
        <v>0</v>
      </c>
      <c r="BX35" s="202">
        <f t="shared" si="62"/>
        <v>0</v>
      </c>
      <c r="BY35" s="202">
        <f t="shared" si="62"/>
        <v>0</v>
      </c>
      <c r="BZ35" s="202">
        <f t="shared" si="65"/>
        <v>0</v>
      </c>
      <c r="CA35" s="202">
        <f t="shared" si="65"/>
        <v>0</v>
      </c>
      <c r="CB35" s="202">
        <f t="shared" si="65"/>
        <v>0</v>
      </c>
      <c r="CC35" s="202">
        <f t="shared" si="65"/>
        <v>0</v>
      </c>
      <c r="CD35" s="202">
        <f t="shared" si="65"/>
        <v>0</v>
      </c>
      <c r="CE35" s="202">
        <f t="shared" si="65"/>
        <v>0</v>
      </c>
      <c r="CF35" s="202">
        <f t="shared" si="65"/>
        <v>0</v>
      </c>
      <c r="CG35" s="202">
        <f t="shared" si="65"/>
        <v>0</v>
      </c>
      <c r="CH35" s="202">
        <f t="shared" si="65"/>
        <v>0</v>
      </c>
      <c r="CI35" s="202">
        <f t="shared" si="65"/>
        <v>0</v>
      </c>
      <c r="CJ35" s="202">
        <f t="shared" si="65"/>
        <v>0</v>
      </c>
      <c r="CK35" s="202">
        <f t="shared" si="65"/>
        <v>0</v>
      </c>
      <c r="CL35" s="202">
        <f t="shared" si="65"/>
        <v>0</v>
      </c>
      <c r="CM35" s="202">
        <f t="shared" si="65"/>
        <v>0</v>
      </c>
      <c r="CN35" s="202">
        <f t="shared" si="65"/>
        <v>0</v>
      </c>
      <c r="CO35" s="202">
        <f t="shared" si="65"/>
        <v>0</v>
      </c>
      <c r="CP35" s="202">
        <f t="shared" si="65"/>
        <v>0</v>
      </c>
      <c r="CQ35" s="202">
        <f t="shared" si="65"/>
        <v>0</v>
      </c>
      <c r="CR35" s="202">
        <f t="shared" si="65"/>
        <v>0</v>
      </c>
      <c r="CS35" s="202">
        <f t="shared" si="65"/>
        <v>0</v>
      </c>
      <c r="CT35" s="202">
        <f t="shared" si="65"/>
        <v>0</v>
      </c>
      <c r="CU35" s="202">
        <f t="shared" si="65"/>
        <v>0</v>
      </c>
      <c r="CV35" s="202">
        <f t="shared" si="65"/>
        <v>0</v>
      </c>
      <c r="CW35" s="202">
        <f t="shared" si="65"/>
        <v>0</v>
      </c>
      <c r="CX35" s="202">
        <f t="shared" si="65"/>
        <v>0</v>
      </c>
      <c r="CY35" s="202">
        <f t="shared" si="65"/>
        <v>0</v>
      </c>
      <c r="CZ35" s="202">
        <f t="shared" si="65"/>
        <v>0</v>
      </c>
      <c r="DA35" s="202">
        <f t="shared" si="65"/>
        <v>0</v>
      </c>
      <c r="DB35" s="202">
        <f t="shared" si="65"/>
        <v>0</v>
      </c>
      <c r="DC35" s="202">
        <f t="shared" si="65"/>
        <v>0</v>
      </c>
      <c r="DD35" s="202">
        <f t="shared" si="65"/>
        <v>0</v>
      </c>
      <c r="DE35" s="202">
        <f t="shared" si="65"/>
        <v>0</v>
      </c>
      <c r="DF35" s="202">
        <f t="shared" si="65"/>
        <v>0</v>
      </c>
      <c r="DG35" s="202">
        <f t="shared" si="65"/>
        <v>0</v>
      </c>
      <c r="DH35" s="202">
        <f t="shared" si="65"/>
        <v>0</v>
      </c>
      <c r="DI35" s="202">
        <f t="shared" si="65"/>
        <v>0</v>
      </c>
      <c r="DJ35" s="202">
        <f t="shared" si="65"/>
        <v>0</v>
      </c>
      <c r="DK35" s="202">
        <f t="shared" si="65"/>
        <v>0</v>
      </c>
      <c r="DL35" s="202">
        <f t="shared" si="65"/>
        <v>0</v>
      </c>
      <c r="DM35" s="202">
        <f t="shared" si="65"/>
        <v>0</v>
      </c>
      <c r="DN35" s="202">
        <f t="shared" si="65"/>
        <v>0</v>
      </c>
      <c r="DO35" s="202">
        <f t="shared" si="65"/>
        <v>0</v>
      </c>
      <c r="DP35" s="202">
        <f t="shared" si="65"/>
        <v>0</v>
      </c>
      <c r="DQ35" s="202">
        <f t="shared" si="65"/>
        <v>0</v>
      </c>
      <c r="DR35" s="202">
        <f t="shared" si="65"/>
        <v>0</v>
      </c>
      <c r="DS35" s="202">
        <f t="shared" si="65"/>
        <v>0</v>
      </c>
      <c r="DT35" s="202">
        <f t="shared" si="65"/>
        <v>0</v>
      </c>
      <c r="DU35" s="202">
        <f t="shared" si="65"/>
        <v>0</v>
      </c>
      <c r="DV35" s="202">
        <f t="shared" si="65"/>
        <v>0</v>
      </c>
      <c r="DW35" s="202">
        <f t="shared" si="65"/>
        <v>0</v>
      </c>
      <c r="DX35" s="202">
        <f t="shared" si="65"/>
        <v>0</v>
      </c>
      <c r="DY35" s="202">
        <f t="shared" si="65"/>
        <v>0</v>
      </c>
      <c r="DZ35" s="202">
        <f t="shared" si="65"/>
        <v>0</v>
      </c>
      <c r="EA35" s="202">
        <f t="shared" si="65"/>
        <v>0</v>
      </c>
      <c r="EB35" s="202">
        <f t="shared" si="65"/>
        <v>0</v>
      </c>
      <c r="EC35" s="202">
        <f t="shared" si="65"/>
        <v>0</v>
      </c>
      <c r="ED35" s="202">
        <f t="shared" si="65"/>
        <v>0</v>
      </c>
      <c r="EE35" s="202">
        <f t="shared" si="65"/>
        <v>0</v>
      </c>
      <c r="EF35" s="202">
        <f t="shared" si="65"/>
        <v>0</v>
      </c>
      <c r="EG35" s="202">
        <f t="shared" si="65"/>
        <v>0</v>
      </c>
      <c r="EH35" s="202">
        <f t="shared" si="65"/>
        <v>0</v>
      </c>
      <c r="EI35" s="202">
        <f t="shared" si="65"/>
        <v>0</v>
      </c>
      <c r="EJ35" s="202">
        <f t="shared" si="65"/>
        <v>0</v>
      </c>
      <c r="EK35" s="202">
        <f t="shared" si="65"/>
        <v>0</v>
      </c>
      <c r="EL35" s="202">
        <f t="shared" si="66"/>
        <v>0</v>
      </c>
      <c r="EM35" s="202">
        <f t="shared" si="66"/>
        <v>0</v>
      </c>
      <c r="EN35" s="202">
        <f t="shared" si="66"/>
        <v>0</v>
      </c>
      <c r="EO35" s="202">
        <f t="shared" si="66"/>
        <v>0</v>
      </c>
      <c r="EP35" s="202">
        <f t="shared" si="66"/>
        <v>0</v>
      </c>
      <c r="EQ35" s="202">
        <f t="shared" si="66"/>
        <v>0</v>
      </c>
      <c r="ER35" s="202">
        <f t="shared" si="66"/>
        <v>0</v>
      </c>
      <c r="ES35" s="202">
        <f t="shared" si="66"/>
        <v>0</v>
      </c>
      <c r="ET35" s="202">
        <f t="shared" si="66"/>
        <v>0</v>
      </c>
      <c r="EU35" s="202">
        <f t="shared" si="66"/>
        <v>0</v>
      </c>
      <c r="EV35" s="202">
        <f t="shared" si="66"/>
        <v>0</v>
      </c>
      <c r="EW35" s="202">
        <f t="shared" si="66"/>
        <v>0</v>
      </c>
      <c r="EX35" s="202">
        <f t="shared" si="66"/>
        <v>0</v>
      </c>
      <c r="EY35" s="202">
        <f t="shared" si="66"/>
        <v>0</v>
      </c>
      <c r="EZ35" s="202">
        <f t="shared" si="66"/>
        <v>0</v>
      </c>
      <c r="FA35" s="202">
        <f t="shared" si="66"/>
        <v>0</v>
      </c>
      <c r="FB35" s="202">
        <f t="shared" si="66"/>
        <v>0</v>
      </c>
      <c r="FC35" s="202">
        <f t="shared" si="66"/>
        <v>0</v>
      </c>
      <c r="FD35" s="202">
        <f t="shared" si="66"/>
        <v>0</v>
      </c>
      <c r="FE35" s="202">
        <f t="shared" si="66"/>
        <v>0</v>
      </c>
      <c r="FF35" s="202">
        <f t="shared" si="66"/>
        <v>0</v>
      </c>
      <c r="FG35" s="202">
        <f t="shared" si="66"/>
        <v>0</v>
      </c>
      <c r="FH35" s="202">
        <f t="shared" si="66"/>
        <v>0</v>
      </c>
      <c r="FI35" s="202">
        <f t="shared" si="66"/>
        <v>0</v>
      </c>
      <c r="FJ35" s="202">
        <f t="shared" si="66"/>
        <v>0</v>
      </c>
      <c r="FK35" s="202">
        <f t="shared" si="66"/>
        <v>0</v>
      </c>
      <c r="FL35" s="202">
        <f t="shared" si="66"/>
        <v>0</v>
      </c>
      <c r="FM35" s="202">
        <f>SUM(טבלה15[[#This Row],[1]:[156]])</f>
        <v>0</v>
      </c>
      <c r="FN35" s="447">
        <f>טבלה15[[#This Row],[סה"כ]]</f>
        <v>0</v>
      </c>
      <c r="FO35" s="220" t="str">
        <f>טבלה15[[#This Row],[מוצר]]</f>
        <v>חומוס גרעינים משומר -A2שימורי עדן</v>
      </c>
      <c r="FP35" s="220"/>
    </row>
    <row r="36" spans="1:172" ht="16.5" customHeight="1">
      <c r="A36" s="203" t="s">
        <v>668</v>
      </c>
      <c r="B36" s="203">
        <v>2</v>
      </c>
      <c r="C36" s="203">
        <v>3883</v>
      </c>
      <c r="D36" s="427" t="e">
        <f>SUMIF([2]!טבלה6[קוד מוצר],C36,[2]!טבלה6[מחיר לקוח])</f>
        <v>#REF!</v>
      </c>
      <c r="E36" s="203">
        <v>1</v>
      </c>
      <c r="F36" s="458" t="e">
        <f t="shared" ref="F36:F53" si="67">D36/E36</f>
        <v>#REF!</v>
      </c>
      <c r="G36" s="461">
        <v>0.17</v>
      </c>
      <c r="H36" s="458" t="e">
        <f>'בוקר צהרים קיטים '!$F36*'בוקר צהרים קיטים '!$G36</f>
        <v>#REF!</v>
      </c>
      <c r="I36" s="460" t="e">
        <f t="shared" si="60"/>
        <v>#REF!</v>
      </c>
      <c r="J36" s="440" t="s">
        <v>696</v>
      </c>
      <c r="K36" s="444" t="str">
        <f>IF(J36=FR27,"1 ל-4","1 ל-2.5")</f>
        <v>1 ל-2.5</v>
      </c>
      <c r="L36" s="449">
        <f>IF(J36=FR27,1/4,1/2.5)</f>
        <v>0.4</v>
      </c>
      <c r="M36" s="202">
        <f t="shared" ref="M36:AB43" si="68">ROUNDUP($L36*M$4,0)</f>
        <v>0</v>
      </c>
      <c r="N36" s="202">
        <f t="shared" ref="N36:Q43" si="69">ROUNDUP($L36*N$4,0)</f>
        <v>0</v>
      </c>
      <c r="O36" s="202">
        <f t="shared" si="69"/>
        <v>0</v>
      </c>
      <c r="P36" s="202">
        <f t="shared" si="69"/>
        <v>0</v>
      </c>
      <c r="Q36" s="202">
        <f t="shared" si="69"/>
        <v>0</v>
      </c>
      <c r="R36" s="202">
        <f t="shared" si="68"/>
        <v>0</v>
      </c>
      <c r="S36" s="202">
        <f t="shared" si="68"/>
        <v>0</v>
      </c>
      <c r="T36" s="202">
        <f t="shared" si="68"/>
        <v>0</v>
      </c>
      <c r="U36" s="202">
        <f t="shared" si="68"/>
        <v>0</v>
      </c>
      <c r="V36" s="202">
        <f t="shared" si="68"/>
        <v>0</v>
      </c>
      <c r="W36" s="202">
        <f t="shared" si="68"/>
        <v>0</v>
      </c>
      <c r="X36" s="202">
        <f t="shared" si="68"/>
        <v>0</v>
      </c>
      <c r="Y36" s="202">
        <f t="shared" si="68"/>
        <v>0</v>
      </c>
      <c r="Z36" s="202">
        <f t="shared" si="68"/>
        <v>0</v>
      </c>
      <c r="AA36" s="202">
        <f t="shared" si="68"/>
        <v>0</v>
      </c>
      <c r="AB36" s="202">
        <f t="shared" si="68"/>
        <v>0</v>
      </c>
      <c r="AC36" s="202">
        <f t="shared" si="62"/>
        <v>0</v>
      </c>
      <c r="AD36" s="202">
        <f t="shared" si="62"/>
        <v>0</v>
      </c>
      <c r="AE36" s="202">
        <f t="shared" si="62"/>
        <v>0</v>
      </c>
      <c r="AF36" s="202">
        <f t="shared" si="62"/>
        <v>0</v>
      </c>
      <c r="AG36" s="202">
        <f t="shared" si="62"/>
        <v>0</v>
      </c>
      <c r="AH36" s="202">
        <f t="shared" si="62"/>
        <v>0</v>
      </c>
      <c r="AI36" s="202">
        <f t="shared" si="62"/>
        <v>0</v>
      </c>
      <c r="AJ36" s="202">
        <f t="shared" si="62"/>
        <v>0</v>
      </c>
      <c r="AK36" s="202">
        <f t="shared" si="62"/>
        <v>0</v>
      </c>
      <c r="AL36" s="202">
        <f t="shared" si="62"/>
        <v>0</v>
      </c>
      <c r="AM36" s="202">
        <f t="shared" si="62"/>
        <v>0</v>
      </c>
      <c r="AN36" s="202">
        <f t="shared" si="62"/>
        <v>0</v>
      </c>
      <c r="AO36" s="202">
        <f t="shared" si="62"/>
        <v>0</v>
      </c>
      <c r="AP36" s="202">
        <f t="shared" si="62"/>
        <v>0</v>
      </c>
      <c r="AQ36" s="202">
        <f t="shared" si="62"/>
        <v>0</v>
      </c>
      <c r="AR36" s="202">
        <f t="shared" si="62"/>
        <v>0</v>
      </c>
      <c r="AS36" s="202">
        <f t="shared" si="62"/>
        <v>0</v>
      </c>
      <c r="AT36" s="202">
        <f t="shared" si="62"/>
        <v>0</v>
      </c>
      <c r="AU36" s="202">
        <f t="shared" si="62"/>
        <v>0</v>
      </c>
      <c r="AV36" s="202">
        <f t="shared" si="62"/>
        <v>0</v>
      </c>
      <c r="AW36" s="202">
        <f t="shared" si="62"/>
        <v>0</v>
      </c>
      <c r="AX36" s="202">
        <f t="shared" si="62"/>
        <v>0</v>
      </c>
      <c r="AY36" s="202">
        <f t="shared" si="62"/>
        <v>0</v>
      </c>
      <c r="AZ36" s="202">
        <f t="shared" si="63"/>
        <v>0</v>
      </c>
      <c r="BA36" s="202">
        <f t="shared" si="63"/>
        <v>0</v>
      </c>
      <c r="BB36" s="202">
        <f t="shared" si="64"/>
        <v>0</v>
      </c>
      <c r="BC36" s="202">
        <f t="shared" si="64"/>
        <v>0</v>
      </c>
      <c r="BD36" s="202">
        <f t="shared" si="64"/>
        <v>0</v>
      </c>
      <c r="BE36" s="202">
        <f t="shared" si="64"/>
        <v>0</v>
      </c>
      <c r="BF36" s="202">
        <f t="shared" si="64"/>
        <v>0</v>
      </c>
      <c r="BG36" s="202">
        <f t="shared" si="64"/>
        <v>0</v>
      </c>
      <c r="BH36" s="202">
        <f t="shared" si="64"/>
        <v>0</v>
      </c>
      <c r="BI36" s="202">
        <f t="shared" si="64"/>
        <v>0</v>
      </c>
      <c r="BJ36" s="202">
        <f t="shared" si="62"/>
        <v>0</v>
      </c>
      <c r="BK36" s="202">
        <f t="shared" si="62"/>
        <v>0</v>
      </c>
      <c r="BL36" s="202">
        <f t="shared" si="62"/>
        <v>0</v>
      </c>
      <c r="BM36" s="202">
        <f t="shared" si="62"/>
        <v>0</v>
      </c>
      <c r="BN36" s="202">
        <f t="shared" si="62"/>
        <v>0</v>
      </c>
      <c r="BO36" s="202">
        <f t="shared" si="62"/>
        <v>0</v>
      </c>
      <c r="BP36" s="202">
        <f t="shared" si="62"/>
        <v>0</v>
      </c>
      <c r="BQ36" s="202">
        <f t="shared" si="62"/>
        <v>0</v>
      </c>
      <c r="BR36" s="202">
        <f t="shared" si="62"/>
        <v>0</v>
      </c>
      <c r="BS36" s="202">
        <f t="shared" si="62"/>
        <v>0</v>
      </c>
      <c r="BT36" s="202">
        <f t="shared" si="62"/>
        <v>0</v>
      </c>
      <c r="BU36" s="202">
        <f t="shared" si="62"/>
        <v>0</v>
      </c>
      <c r="BV36" s="202">
        <f t="shared" si="62"/>
        <v>0</v>
      </c>
      <c r="BW36" s="202">
        <f t="shared" si="62"/>
        <v>0</v>
      </c>
      <c r="BX36" s="202">
        <f t="shared" si="62"/>
        <v>0</v>
      </c>
      <c r="BY36" s="202">
        <f t="shared" si="62"/>
        <v>0</v>
      </c>
      <c r="BZ36" s="202">
        <f t="shared" si="65"/>
        <v>0</v>
      </c>
      <c r="CA36" s="202">
        <f t="shared" si="65"/>
        <v>0</v>
      </c>
      <c r="CB36" s="202">
        <f t="shared" si="65"/>
        <v>0</v>
      </c>
      <c r="CC36" s="202">
        <f t="shared" si="65"/>
        <v>0</v>
      </c>
      <c r="CD36" s="202">
        <f t="shared" si="65"/>
        <v>0</v>
      </c>
      <c r="CE36" s="202">
        <f t="shared" si="65"/>
        <v>0</v>
      </c>
      <c r="CF36" s="202">
        <f t="shared" si="65"/>
        <v>0</v>
      </c>
      <c r="CG36" s="202">
        <f t="shared" si="65"/>
        <v>0</v>
      </c>
      <c r="CH36" s="202">
        <f t="shared" si="65"/>
        <v>0</v>
      </c>
      <c r="CI36" s="202">
        <f t="shared" si="65"/>
        <v>0</v>
      </c>
      <c r="CJ36" s="202">
        <f t="shared" si="65"/>
        <v>0</v>
      </c>
      <c r="CK36" s="202">
        <f t="shared" si="65"/>
        <v>0</v>
      </c>
      <c r="CL36" s="202">
        <f t="shared" si="65"/>
        <v>0</v>
      </c>
      <c r="CM36" s="202">
        <f t="shared" si="65"/>
        <v>0</v>
      </c>
      <c r="CN36" s="202">
        <f t="shared" si="65"/>
        <v>0</v>
      </c>
      <c r="CO36" s="202">
        <f t="shared" si="65"/>
        <v>0</v>
      </c>
      <c r="CP36" s="202">
        <f t="shared" si="65"/>
        <v>0</v>
      </c>
      <c r="CQ36" s="202">
        <f t="shared" si="65"/>
        <v>0</v>
      </c>
      <c r="CR36" s="202">
        <f t="shared" si="65"/>
        <v>0</v>
      </c>
      <c r="CS36" s="202">
        <f t="shared" si="65"/>
        <v>0</v>
      </c>
      <c r="CT36" s="202">
        <f t="shared" si="65"/>
        <v>0</v>
      </c>
      <c r="CU36" s="202">
        <f t="shared" si="65"/>
        <v>0</v>
      </c>
      <c r="CV36" s="202">
        <f t="shared" si="65"/>
        <v>0</v>
      </c>
      <c r="CW36" s="202">
        <f t="shared" si="65"/>
        <v>0</v>
      </c>
      <c r="CX36" s="202">
        <f t="shared" si="65"/>
        <v>0</v>
      </c>
      <c r="CY36" s="202">
        <f t="shared" si="65"/>
        <v>0</v>
      </c>
      <c r="CZ36" s="202">
        <f t="shared" si="65"/>
        <v>0</v>
      </c>
      <c r="DA36" s="202">
        <f t="shared" si="65"/>
        <v>0</v>
      </c>
      <c r="DB36" s="202">
        <f t="shared" si="65"/>
        <v>0</v>
      </c>
      <c r="DC36" s="202">
        <f t="shared" si="65"/>
        <v>0</v>
      </c>
      <c r="DD36" s="202">
        <f t="shared" si="65"/>
        <v>0</v>
      </c>
      <c r="DE36" s="202">
        <f t="shared" si="65"/>
        <v>0</v>
      </c>
      <c r="DF36" s="202">
        <f t="shared" si="65"/>
        <v>0</v>
      </c>
      <c r="DG36" s="202">
        <f t="shared" si="65"/>
        <v>0</v>
      </c>
      <c r="DH36" s="202">
        <f t="shared" si="65"/>
        <v>0</v>
      </c>
      <c r="DI36" s="202">
        <f t="shared" si="65"/>
        <v>0</v>
      </c>
      <c r="DJ36" s="202">
        <f t="shared" si="65"/>
        <v>0</v>
      </c>
      <c r="DK36" s="202">
        <f t="shared" si="65"/>
        <v>0</v>
      </c>
      <c r="DL36" s="202">
        <f t="shared" si="65"/>
        <v>0</v>
      </c>
      <c r="DM36" s="202">
        <f t="shared" si="65"/>
        <v>0</v>
      </c>
      <c r="DN36" s="202">
        <f t="shared" si="65"/>
        <v>0</v>
      </c>
      <c r="DO36" s="202">
        <f t="shared" si="65"/>
        <v>0</v>
      </c>
      <c r="DP36" s="202">
        <f t="shared" si="65"/>
        <v>0</v>
      </c>
      <c r="DQ36" s="202">
        <f t="shared" si="65"/>
        <v>0</v>
      </c>
      <c r="DR36" s="202">
        <f t="shared" si="65"/>
        <v>0</v>
      </c>
      <c r="DS36" s="202">
        <f t="shared" si="65"/>
        <v>0</v>
      </c>
      <c r="DT36" s="202">
        <f t="shared" si="65"/>
        <v>0</v>
      </c>
      <c r="DU36" s="202">
        <f t="shared" si="65"/>
        <v>0</v>
      </c>
      <c r="DV36" s="202">
        <f t="shared" si="65"/>
        <v>0</v>
      </c>
      <c r="DW36" s="202">
        <f t="shared" si="65"/>
        <v>0</v>
      </c>
      <c r="DX36" s="202">
        <f t="shared" si="65"/>
        <v>0</v>
      </c>
      <c r="DY36" s="202">
        <f t="shared" si="65"/>
        <v>0</v>
      </c>
      <c r="DZ36" s="202">
        <f t="shared" si="65"/>
        <v>0</v>
      </c>
      <c r="EA36" s="202">
        <f t="shared" si="65"/>
        <v>0</v>
      </c>
      <c r="EB36" s="202">
        <f t="shared" si="65"/>
        <v>0</v>
      </c>
      <c r="EC36" s="202">
        <f t="shared" si="65"/>
        <v>0</v>
      </c>
      <c r="ED36" s="202">
        <f t="shared" si="65"/>
        <v>0</v>
      </c>
      <c r="EE36" s="202">
        <f t="shared" si="65"/>
        <v>0</v>
      </c>
      <c r="EF36" s="202">
        <f t="shared" si="65"/>
        <v>0</v>
      </c>
      <c r="EG36" s="202">
        <f t="shared" si="65"/>
        <v>0</v>
      </c>
      <c r="EH36" s="202">
        <f t="shared" si="65"/>
        <v>0</v>
      </c>
      <c r="EI36" s="202">
        <f t="shared" si="65"/>
        <v>0</v>
      </c>
      <c r="EJ36" s="202">
        <f t="shared" si="65"/>
        <v>0</v>
      </c>
      <c r="EK36" s="202">
        <f t="shared" si="65"/>
        <v>0</v>
      </c>
      <c r="EL36" s="202">
        <f t="shared" si="66"/>
        <v>0</v>
      </c>
      <c r="EM36" s="202">
        <f t="shared" si="66"/>
        <v>0</v>
      </c>
      <c r="EN36" s="202">
        <f t="shared" si="66"/>
        <v>0</v>
      </c>
      <c r="EO36" s="202">
        <f t="shared" si="66"/>
        <v>0</v>
      </c>
      <c r="EP36" s="202">
        <f t="shared" si="66"/>
        <v>0</v>
      </c>
      <c r="EQ36" s="202">
        <f t="shared" si="66"/>
        <v>0</v>
      </c>
      <c r="ER36" s="202">
        <f t="shared" si="66"/>
        <v>0</v>
      </c>
      <c r="ES36" s="202">
        <f t="shared" si="66"/>
        <v>0</v>
      </c>
      <c r="ET36" s="202">
        <f t="shared" si="66"/>
        <v>0</v>
      </c>
      <c r="EU36" s="202">
        <f t="shared" si="66"/>
        <v>0</v>
      </c>
      <c r="EV36" s="202">
        <f t="shared" si="66"/>
        <v>0</v>
      </c>
      <c r="EW36" s="202">
        <f t="shared" si="66"/>
        <v>0</v>
      </c>
      <c r="EX36" s="202">
        <f t="shared" si="66"/>
        <v>0</v>
      </c>
      <c r="EY36" s="202">
        <f t="shared" si="66"/>
        <v>0</v>
      </c>
      <c r="EZ36" s="202">
        <f t="shared" si="66"/>
        <v>0</v>
      </c>
      <c r="FA36" s="202">
        <f t="shared" si="66"/>
        <v>0</v>
      </c>
      <c r="FB36" s="202">
        <f t="shared" si="66"/>
        <v>0</v>
      </c>
      <c r="FC36" s="202">
        <f t="shared" si="66"/>
        <v>0</v>
      </c>
      <c r="FD36" s="202">
        <f t="shared" si="66"/>
        <v>0</v>
      </c>
      <c r="FE36" s="202">
        <f t="shared" si="66"/>
        <v>0</v>
      </c>
      <c r="FF36" s="202">
        <f t="shared" si="66"/>
        <v>0</v>
      </c>
      <c r="FG36" s="202">
        <f t="shared" si="66"/>
        <v>0</v>
      </c>
      <c r="FH36" s="202">
        <f t="shared" si="66"/>
        <v>0</v>
      </c>
      <c r="FI36" s="202">
        <f t="shared" si="66"/>
        <v>0</v>
      </c>
      <c r="FJ36" s="202">
        <f t="shared" si="66"/>
        <v>0</v>
      </c>
      <c r="FK36" s="202">
        <f t="shared" si="66"/>
        <v>0</v>
      </c>
      <c r="FL36" s="202">
        <f t="shared" si="66"/>
        <v>0</v>
      </c>
      <c r="FM36" s="202">
        <f>SUM(טבלה15[[#This Row],[1]:[156]])</f>
        <v>0</v>
      </c>
      <c r="FN36" s="447">
        <f>טבלה15[[#This Row],[סה"כ]]</f>
        <v>0</v>
      </c>
      <c r="FO36" s="220" t="str">
        <f>טבלה15[[#This Row],[מוצר]]</f>
        <v>טונה (100 גרם)</v>
      </c>
      <c r="FP36" s="220"/>
    </row>
    <row r="37" spans="1:172" ht="16.5" customHeight="1">
      <c r="A37" s="203" t="s">
        <v>668</v>
      </c>
      <c r="B37" s="203">
        <v>3</v>
      </c>
      <c r="C37" s="203">
        <v>5579</v>
      </c>
      <c r="D37" s="427" t="e">
        <f>SUMIF([2]!טבלה6[קוד מוצר],C37,[2]!טבלה6[מחיר לקוח])</f>
        <v>#REF!</v>
      </c>
      <c r="E37" s="203">
        <v>1</v>
      </c>
      <c r="F37" s="458" t="e">
        <f t="shared" si="67"/>
        <v>#REF!</v>
      </c>
      <c r="G37" s="461">
        <v>0.17</v>
      </c>
      <c r="H37" s="458" t="e">
        <f>'בוקר צהרים קיטים '!$F37*'בוקר צהרים קיטים '!$G37</f>
        <v>#REF!</v>
      </c>
      <c r="I37" s="460" t="e">
        <f t="shared" si="60"/>
        <v>#REF!</v>
      </c>
      <c r="J37" s="440" t="s">
        <v>701</v>
      </c>
      <c r="K37" s="444" t="s">
        <v>702</v>
      </c>
      <c r="L37" s="449">
        <f>1/10</f>
        <v>0.1</v>
      </c>
      <c r="M37" s="202">
        <f t="shared" si="68"/>
        <v>0</v>
      </c>
      <c r="N37" s="202">
        <f t="shared" si="69"/>
        <v>0</v>
      </c>
      <c r="O37" s="202">
        <f t="shared" si="69"/>
        <v>0</v>
      </c>
      <c r="P37" s="202">
        <f t="shared" si="69"/>
        <v>0</v>
      </c>
      <c r="Q37" s="202">
        <f t="shared" si="69"/>
        <v>0</v>
      </c>
      <c r="R37" s="202">
        <f t="shared" ref="R37:BY40" si="70">ROUNDUP($L37*R$4,0)</f>
        <v>0</v>
      </c>
      <c r="S37" s="202">
        <f t="shared" si="70"/>
        <v>0</v>
      </c>
      <c r="T37" s="202">
        <f t="shared" si="70"/>
        <v>0</v>
      </c>
      <c r="U37" s="202">
        <f t="shared" si="70"/>
        <v>0</v>
      </c>
      <c r="V37" s="202">
        <f t="shared" si="70"/>
        <v>0</v>
      </c>
      <c r="W37" s="202">
        <f t="shared" si="70"/>
        <v>0</v>
      </c>
      <c r="X37" s="202">
        <f t="shared" si="70"/>
        <v>0</v>
      </c>
      <c r="Y37" s="202">
        <f t="shared" si="70"/>
        <v>0</v>
      </c>
      <c r="Z37" s="202">
        <f t="shared" si="70"/>
        <v>0</v>
      </c>
      <c r="AA37" s="202">
        <f t="shared" si="70"/>
        <v>0</v>
      </c>
      <c r="AB37" s="202">
        <f t="shared" si="70"/>
        <v>0</v>
      </c>
      <c r="AC37" s="202">
        <f t="shared" si="70"/>
        <v>0</v>
      </c>
      <c r="AD37" s="202">
        <f t="shared" si="70"/>
        <v>0</v>
      </c>
      <c r="AE37" s="202">
        <f t="shared" si="70"/>
        <v>0</v>
      </c>
      <c r="AF37" s="202">
        <f t="shared" si="70"/>
        <v>0</v>
      </c>
      <c r="AG37" s="202">
        <f t="shared" si="70"/>
        <v>0</v>
      </c>
      <c r="AH37" s="202">
        <f t="shared" si="70"/>
        <v>0</v>
      </c>
      <c r="AI37" s="202">
        <f t="shared" si="70"/>
        <v>0</v>
      </c>
      <c r="AJ37" s="202">
        <f t="shared" si="70"/>
        <v>0</v>
      </c>
      <c r="AK37" s="202">
        <f t="shared" si="70"/>
        <v>0</v>
      </c>
      <c r="AL37" s="202">
        <f t="shared" si="70"/>
        <v>0</v>
      </c>
      <c r="AM37" s="202">
        <f t="shared" si="70"/>
        <v>0</v>
      </c>
      <c r="AN37" s="202">
        <f t="shared" si="70"/>
        <v>0</v>
      </c>
      <c r="AO37" s="202">
        <f t="shared" si="70"/>
        <v>0</v>
      </c>
      <c r="AP37" s="202">
        <f t="shared" si="70"/>
        <v>0</v>
      </c>
      <c r="AQ37" s="202">
        <f t="shared" si="70"/>
        <v>0</v>
      </c>
      <c r="AR37" s="202">
        <f t="shared" si="70"/>
        <v>0</v>
      </c>
      <c r="AS37" s="202">
        <f t="shared" si="70"/>
        <v>0</v>
      </c>
      <c r="AT37" s="202">
        <f t="shared" si="70"/>
        <v>0</v>
      </c>
      <c r="AU37" s="202">
        <f t="shared" si="70"/>
        <v>0</v>
      </c>
      <c r="AV37" s="202">
        <f t="shared" si="70"/>
        <v>0</v>
      </c>
      <c r="AW37" s="202">
        <f t="shared" si="70"/>
        <v>0</v>
      </c>
      <c r="AX37" s="202">
        <f t="shared" si="70"/>
        <v>0</v>
      </c>
      <c r="AY37" s="202">
        <f t="shared" si="70"/>
        <v>0</v>
      </c>
      <c r="AZ37" s="202">
        <f t="shared" si="63"/>
        <v>0</v>
      </c>
      <c r="BA37" s="202">
        <f t="shared" si="63"/>
        <v>0</v>
      </c>
      <c r="BB37" s="202">
        <f t="shared" si="64"/>
        <v>0</v>
      </c>
      <c r="BC37" s="202">
        <f t="shared" si="64"/>
        <v>0</v>
      </c>
      <c r="BD37" s="202">
        <f t="shared" si="64"/>
        <v>0</v>
      </c>
      <c r="BE37" s="202">
        <f t="shared" si="64"/>
        <v>0</v>
      </c>
      <c r="BF37" s="202">
        <f t="shared" si="64"/>
        <v>0</v>
      </c>
      <c r="BG37" s="202">
        <f t="shared" si="64"/>
        <v>0</v>
      </c>
      <c r="BH37" s="202">
        <f t="shared" si="64"/>
        <v>0</v>
      </c>
      <c r="BI37" s="202">
        <f t="shared" si="64"/>
        <v>0</v>
      </c>
      <c r="BJ37" s="202">
        <f t="shared" si="70"/>
        <v>0</v>
      </c>
      <c r="BK37" s="202">
        <f t="shared" si="70"/>
        <v>0</v>
      </c>
      <c r="BL37" s="202">
        <f t="shared" si="70"/>
        <v>0</v>
      </c>
      <c r="BM37" s="202">
        <f t="shared" si="70"/>
        <v>0</v>
      </c>
      <c r="BN37" s="202">
        <f t="shared" si="70"/>
        <v>0</v>
      </c>
      <c r="BO37" s="202">
        <f t="shared" si="70"/>
        <v>0</v>
      </c>
      <c r="BP37" s="202">
        <f t="shared" si="70"/>
        <v>0</v>
      </c>
      <c r="BQ37" s="202">
        <f t="shared" si="70"/>
        <v>0</v>
      </c>
      <c r="BR37" s="202">
        <f t="shared" si="70"/>
        <v>0</v>
      </c>
      <c r="BS37" s="202">
        <f t="shared" si="70"/>
        <v>0</v>
      </c>
      <c r="BT37" s="202">
        <f t="shared" si="70"/>
        <v>0</v>
      </c>
      <c r="BU37" s="202">
        <f t="shared" si="70"/>
        <v>0</v>
      </c>
      <c r="BV37" s="202">
        <f t="shared" si="70"/>
        <v>0</v>
      </c>
      <c r="BW37" s="202">
        <f t="shared" si="70"/>
        <v>0</v>
      </c>
      <c r="BX37" s="202">
        <f t="shared" si="70"/>
        <v>0</v>
      </c>
      <c r="BY37" s="202">
        <f t="shared" si="70"/>
        <v>0</v>
      </c>
      <c r="BZ37" s="202">
        <f t="shared" si="65"/>
        <v>0</v>
      </c>
      <c r="CA37" s="202">
        <f t="shared" si="65"/>
        <v>0</v>
      </c>
      <c r="CB37" s="202">
        <f t="shared" si="65"/>
        <v>0</v>
      </c>
      <c r="CC37" s="202">
        <f t="shared" si="65"/>
        <v>0</v>
      </c>
      <c r="CD37" s="202">
        <f t="shared" si="65"/>
        <v>0</v>
      </c>
      <c r="CE37" s="202">
        <f t="shared" si="65"/>
        <v>0</v>
      </c>
      <c r="CF37" s="202">
        <f t="shared" si="65"/>
        <v>0</v>
      </c>
      <c r="CG37" s="202">
        <f t="shared" si="65"/>
        <v>0</v>
      </c>
      <c r="CH37" s="202">
        <f t="shared" si="65"/>
        <v>0</v>
      </c>
      <c r="CI37" s="202">
        <f t="shared" si="65"/>
        <v>0</v>
      </c>
      <c r="CJ37" s="202">
        <f t="shared" si="65"/>
        <v>0</v>
      </c>
      <c r="CK37" s="202">
        <f t="shared" si="65"/>
        <v>0</v>
      </c>
      <c r="CL37" s="202">
        <f t="shared" si="65"/>
        <v>0</v>
      </c>
      <c r="CM37" s="202">
        <f t="shared" si="65"/>
        <v>0</v>
      </c>
      <c r="CN37" s="202">
        <f t="shared" si="65"/>
        <v>0</v>
      </c>
      <c r="CO37" s="202">
        <f t="shared" si="65"/>
        <v>0</v>
      </c>
      <c r="CP37" s="202">
        <f t="shared" si="65"/>
        <v>0</v>
      </c>
      <c r="CQ37" s="202">
        <f t="shared" si="65"/>
        <v>0</v>
      </c>
      <c r="CR37" s="202">
        <f t="shared" si="65"/>
        <v>0</v>
      </c>
      <c r="CS37" s="202">
        <f t="shared" si="65"/>
        <v>0</v>
      </c>
      <c r="CT37" s="202">
        <f t="shared" si="65"/>
        <v>0</v>
      </c>
      <c r="CU37" s="202">
        <f t="shared" si="65"/>
        <v>0</v>
      </c>
      <c r="CV37" s="202">
        <f t="shared" si="65"/>
        <v>0</v>
      </c>
      <c r="CW37" s="202">
        <f t="shared" si="65"/>
        <v>0</v>
      </c>
      <c r="CX37" s="202">
        <f t="shared" si="65"/>
        <v>0</v>
      </c>
      <c r="CY37" s="202">
        <f t="shared" si="65"/>
        <v>0</v>
      </c>
      <c r="CZ37" s="202">
        <f t="shared" si="65"/>
        <v>0</v>
      </c>
      <c r="DA37" s="202">
        <f t="shared" si="65"/>
        <v>0</v>
      </c>
      <c r="DB37" s="202">
        <f t="shared" si="65"/>
        <v>0</v>
      </c>
      <c r="DC37" s="202">
        <f t="shared" si="65"/>
        <v>0</v>
      </c>
      <c r="DD37" s="202">
        <f t="shared" si="65"/>
        <v>0</v>
      </c>
      <c r="DE37" s="202">
        <f t="shared" si="65"/>
        <v>0</v>
      </c>
      <c r="DF37" s="202">
        <f t="shared" si="65"/>
        <v>0</v>
      </c>
      <c r="DG37" s="202">
        <f t="shared" si="65"/>
        <v>0</v>
      </c>
      <c r="DH37" s="202">
        <f t="shared" si="65"/>
        <v>0</v>
      </c>
      <c r="DI37" s="202">
        <f t="shared" si="65"/>
        <v>0</v>
      </c>
      <c r="DJ37" s="202">
        <f t="shared" si="65"/>
        <v>0</v>
      </c>
      <c r="DK37" s="202">
        <f t="shared" si="65"/>
        <v>0</v>
      </c>
      <c r="DL37" s="202">
        <f t="shared" si="65"/>
        <v>0</v>
      </c>
      <c r="DM37" s="202">
        <f t="shared" si="65"/>
        <v>0</v>
      </c>
      <c r="DN37" s="202">
        <f t="shared" si="65"/>
        <v>0</v>
      </c>
      <c r="DO37" s="202">
        <f t="shared" si="65"/>
        <v>0</v>
      </c>
      <c r="DP37" s="202">
        <f t="shared" si="65"/>
        <v>0</v>
      </c>
      <c r="DQ37" s="202">
        <f t="shared" si="65"/>
        <v>0</v>
      </c>
      <c r="DR37" s="202">
        <f t="shared" si="65"/>
        <v>0</v>
      </c>
      <c r="DS37" s="202">
        <f t="shared" si="65"/>
        <v>0</v>
      </c>
      <c r="DT37" s="202">
        <f t="shared" si="65"/>
        <v>0</v>
      </c>
      <c r="DU37" s="202">
        <f t="shared" si="65"/>
        <v>0</v>
      </c>
      <c r="DV37" s="202">
        <f t="shared" si="65"/>
        <v>0</v>
      </c>
      <c r="DW37" s="202">
        <f t="shared" si="65"/>
        <v>0</v>
      </c>
      <c r="DX37" s="202">
        <f t="shared" si="65"/>
        <v>0</v>
      </c>
      <c r="DY37" s="202">
        <f t="shared" si="65"/>
        <v>0</v>
      </c>
      <c r="DZ37" s="202">
        <f t="shared" si="65"/>
        <v>0</v>
      </c>
      <c r="EA37" s="202">
        <f t="shared" si="65"/>
        <v>0</v>
      </c>
      <c r="EB37" s="202">
        <f t="shared" si="65"/>
        <v>0</v>
      </c>
      <c r="EC37" s="202">
        <f t="shared" si="65"/>
        <v>0</v>
      </c>
      <c r="ED37" s="202">
        <f t="shared" si="65"/>
        <v>0</v>
      </c>
      <c r="EE37" s="202">
        <f t="shared" si="65"/>
        <v>0</v>
      </c>
      <c r="EF37" s="202">
        <f t="shared" si="65"/>
        <v>0</v>
      </c>
      <c r="EG37" s="202">
        <f t="shared" si="65"/>
        <v>0</v>
      </c>
      <c r="EH37" s="202">
        <f t="shared" si="65"/>
        <v>0</v>
      </c>
      <c r="EI37" s="202">
        <f t="shared" si="65"/>
        <v>0</v>
      </c>
      <c r="EJ37" s="202">
        <f t="shared" si="65"/>
        <v>0</v>
      </c>
      <c r="EK37" s="202">
        <f t="shared" ref="EK37:FL43" si="71">ROUNDUP($L37*EK$4,0)</f>
        <v>0</v>
      </c>
      <c r="EL37" s="202">
        <f t="shared" si="71"/>
        <v>0</v>
      </c>
      <c r="EM37" s="202">
        <f t="shared" si="71"/>
        <v>0</v>
      </c>
      <c r="EN37" s="202">
        <f t="shared" si="71"/>
        <v>0</v>
      </c>
      <c r="EO37" s="202">
        <f t="shared" si="71"/>
        <v>0</v>
      </c>
      <c r="EP37" s="202">
        <f t="shared" si="71"/>
        <v>0</v>
      </c>
      <c r="EQ37" s="202">
        <f t="shared" si="71"/>
        <v>0</v>
      </c>
      <c r="ER37" s="202">
        <f t="shared" si="71"/>
        <v>0</v>
      </c>
      <c r="ES37" s="202">
        <f t="shared" si="71"/>
        <v>0</v>
      </c>
      <c r="ET37" s="202">
        <f t="shared" si="71"/>
        <v>0</v>
      </c>
      <c r="EU37" s="202">
        <f t="shared" si="71"/>
        <v>0</v>
      </c>
      <c r="EV37" s="202">
        <f t="shared" si="71"/>
        <v>0</v>
      </c>
      <c r="EW37" s="202">
        <f t="shared" si="71"/>
        <v>0</v>
      </c>
      <c r="EX37" s="202">
        <f t="shared" si="71"/>
        <v>0</v>
      </c>
      <c r="EY37" s="202">
        <f t="shared" si="71"/>
        <v>0</v>
      </c>
      <c r="EZ37" s="202">
        <f t="shared" si="71"/>
        <v>0</v>
      </c>
      <c r="FA37" s="202">
        <f t="shared" si="71"/>
        <v>0</v>
      </c>
      <c r="FB37" s="202">
        <f t="shared" si="71"/>
        <v>0</v>
      </c>
      <c r="FC37" s="202">
        <f t="shared" si="71"/>
        <v>0</v>
      </c>
      <c r="FD37" s="202">
        <f t="shared" si="71"/>
        <v>0</v>
      </c>
      <c r="FE37" s="202">
        <f t="shared" si="71"/>
        <v>0</v>
      </c>
      <c r="FF37" s="202">
        <f t="shared" si="71"/>
        <v>0</v>
      </c>
      <c r="FG37" s="202">
        <f t="shared" si="71"/>
        <v>0</v>
      </c>
      <c r="FH37" s="202">
        <f t="shared" si="71"/>
        <v>0</v>
      </c>
      <c r="FI37" s="202">
        <f t="shared" si="71"/>
        <v>0</v>
      </c>
      <c r="FJ37" s="202">
        <f t="shared" si="71"/>
        <v>0</v>
      </c>
      <c r="FK37" s="202">
        <f t="shared" si="71"/>
        <v>0</v>
      </c>
      <c r="FL37" s="202">
        <f t="shared" si="71"/>
        <v>0</v>
      </c>
      <c r="FM37" s="202">
        <f>SUM(טבלה15[[#This Row],[1]:[156]])</f>
        <v>0</v>
      </c>
      <c r="FN37" s="447">
        <f>טבלה15[[#This Row],[סה"כ]]</f>
        <v>0</v>
      </c>
      <c r="FO37" s="220" t="str">
        <f>טבלה15[[#This Row],[מוצר]]</f>
        <v>מלפפון חמוץ במלח A2</v>
      </c>
      <c r="FP37" s="220"/>
    </row>
    <row r="38" spans="1:172" ht="16.5" customHeight="1">
      <c r="A38" s="203" t="s">
        <v>668</v>
      </c>
      <c r="B38" s="203">
        <v>4</v>
      </c>
      <c r="C38" s="203">
        <v>9503</v>
      </c>
      <c r="D38" s="427" t="e">
        <f>SUMIF([2]!טבלה6[קוד מוצר],C38,[2]!טבלה6[מחיר לקוח])</f>
        <v>#REF!</v>
      </c>
      <c r="E38" s="203">
        <v>1</v>
      </c>
      <c r="F38" s="458" t="e">
        <f t="shared" si="67"/>
        <v>#REF!</v>
      </c>
      <c r="G38" s="461">
        <v>0.17</v>
      </c>
      <c r="H38" s="458" t="e">
        <f>'בוקר צהרים קיטים '!$F38*'בוקר צהרים קיטים '!$G38</f>
        <v>#REF!</v>
      </c>
      <c r="I38" s="460" t="e">
        <f t="shared" si="60"/>
        <v>#REF!</v>
      </c>
      <c r="J38" s="440" t="s">
        <v>703</v>
      </c>
      <c r="K38" s="444" t="s">
        <v>704</v>
      </c>
      <c r="L38" s="449">
        <f>1/8</f>
        <v>0.125</v>
      </c>
      <c r="M38" s="202">
        <f t="shared" si="68"/>
        <v>0</v>
      </c>
      <c r="N38" s="202">
        <f t="shared" si="69"/>
        <v>0</v>
      </c>
      <c r="O38" s="202">
        <f t="shared" si="69"/>
        <v>0</v>
      </c>
      <c r="P38" s="202">
        <f t="shared" si="69"/>
        <v>0</v>
      </c>
      <c r="Q38" s="202">
        <f t="shared" si="69"/>
        <v>0</v>
      </c>
      <c r="R38" s="202">
        <f t="shared" si="70"/>
        <v>0</v>
      </c>
      <c r="S38" s="202">
        <f t="shared" si="70"/>
        <v>0</v>
      </c>
      <c r="T38" s="202">
        <f t="shared" si="70"/>
        <v>0</v>
      </c>
      <c r="U38" s="202">
        <f t="shared" si="70"/>
        <v>0</v>
      </c>
      <c r="V38" s="202">
        <f t="shared" si="70"/>
        <v>0</v>
      </c>
      <c r="W38" s="202">
        <f t="shared" si="70"/>
        <v>0</v>
      </c>
      <c r="X38" s="202">
        <f t="shared" si="70"/>
        <v>0</v>
      </c>
      <c r="Y38" s="202">
        <f t="shared" si="70"/>
        <v>0</v>
      </c>
      <c r="Z38" s="202">
        <f t="shared" si="70"/>
        <v>0</v>
      </c>
      <c r="AA38" s="202">
        <f t="shared" si="70"/>
        <v>0</v>
      </c>
      <c r="AB38" s="202">
        <f t="shared" si="70"/>
        <v>0</v>
      </c>
      <c r="AC38" s="202">
        <f t="shared" si="70"/>
        <v>0</v>
      </c>
      <c r="AD38" s="202">
        <f t="shared" si="70"/>
        <v>0</v>
      </c>
      <c r="AE38" s="202">
        <f t="shared" si="70"/>
        <v>0</v>
      </c>
      <c r="AF38" s="202">
        <f t="shared" si="70"/>
        <v>0</v>
      </c>
      <c r="AG38" s="202">
        <f t="shared" si="70"/>
        <v>0</v>
      </c>
      <c r="AH38" s="202">
        <f t="shared" si="70"/>
        <v>0</v>
      </c>
      <c r="AI38" s="202">
        <f t="shared" si="70"/>
        <v>0</v>
      </c>
      <c r="AJ38" s="202">
        <f t="shared" si="70"/>
        <v>0</v>
      </c>
      <c r="AK38" s="202">
        <f t="shared" si="70"/>
        <v>0</v>
      </c>
      <c r="AL38" s="202">
        <f t="shared" si="70"/>
        <v>0</v>
      </c>
      <c r="AM38" s="202">
        <f t="shared" si="70"/>
        <v>0</v>
      </c>
      <c r="AN38" s="202">
        <f t="shared" si="70"/>
        <v>0</v>
      </c>
      <c r="AO38" s="202">
        <f t="shared" si="70"/>
        <v>0</v>
      </c>
      <c r="AP38" s="202">
        <f t="shared" si="70"/>
        <v>0</v>
      </c>
      <c r="AQ38" s="202">
        <f t="shared" si="70"/>
        <v>0</v>
      </c>
      <c r="AR38" s="202">
        <f t="shared" si="70"/>
        <v>0</v>
      </c>
      <c r="AS38" s="202">
        <f t="shared" si="70"/>
        <v>0</v>
      </c>
      <c r="AT38" s="202">
        <f t="shared" si="70"/>
        <v>0</v>
      </c>
      <c r="AU38" s="202">
        <f t="shared" si="70"/>
        <v>0</v>
      </c>
      <c r="AV38" s="202">
        <f t="shared" si="70"/>
        <v>0</v>
      </c>
      <c r="AW38" s="202">
        <f t="shared" si="70"/>
        <v>0</v>
      </c>
      <c r="AX38" s="202">
        <f t="shared" si="70"/>
        <v>0</v>
      </c>
      <c r="AY38" s="202">
        <f t="shared" si="70"/>
        <v>0</v>
      </c>
      <c r="AZ38" s="202">
        <f t="shared" si="63"/>
        <v>0</v>
      </c>
      <c r="BA38" s="202">
        <f t="shared" si="63"/>
        <v>0</v>
      </c>
      <c r="BB38" s="202">
        <f t="shared" si="64"/>
        <v>0</v>
      </c>
      <c r="BC38" s="202">
        <f t="shared" si="64"/>
        <v>0</v>
      </c>
      <c r="BD38" s="202">
        <f t="shared" si="64"/>
        <v>0</v>
      </c>
      <c r="BE38" s="202">
        <f t="shared" si="64"/>
        <v>0</v>
      </c>
      <c r="BF38" s="202">
        <f t="shared" si="64"/>
        <v>0</v>
      </c>
      <c r="BG38" s="202">
        <f t="shared" si="64"/>
        <v>0</v>
      </c>
      <c r="BH38" s="202">
        <f t="shared" si="64"/>
        <v>0</v>
      </c>
      <c r="BI38" s="202">
        <f t="shared" si="64"/>
        <v>0</v>
      </c>
      <c r="BJ38" s="202">
        <f t="shared" si="70"/>
        <v>0</v>
      </c>
      <c r="BK38" s="202">
        <f t="shared" si="70"/>
        <v>0</v>
      </c>
      <c r="BL38" s="202">
        <f t="shared" si="70"/>
        <v>0</v>
      </c>
      <c r="BM38" s="202">
        <f t="shared" si="70"/>
        <v>0</v>
      </c>
      <c r="BN38" s="202">
        <f t="shared" si="70"/>
        <v>0</v>
      </c>
      <c r="BO38" s="202">
        <f t="shared" si="70"/>
        <v>0</v>
      </c>
      <c r="BP38" s="202">
        <f t="shared" si="70"/>
        <v>0</v>
      </c>
      <c r="BQ38" s="202">
        <f t="shared" si="70"/>
        <v>0</v>
      </c>
      <c r="BR38" s="202">
        <f t="shared" si="70"/>
        <v>0</v>
      </c>
      <c r="BS38" s="202">
        <f t="shared" si="70"/>
        <v>0</v>
      </c>
      <c r="BT38" s="202">
        <f t="shared" si="70"/>
        <v>0</v>
      </c>
      <c r="BU38" s="202">
        <f t="shared" si="70"/>
        <v>0</v>
      </c>
      <c r="BV38" s="202">
        <f t="shared" si="70"/>
        <v>0</v>
      </c>
      <c r="BW38" s="202">
        <f t="shared" si="70"/>
        <v>0</v>
      </c>
      <c r="BX38" s="202">
        <f t="shared" si="70"/>
        <v>0</v>
      </c>
      <c r="BY38" s="202">
        <f t="shared" si="70"/>
        <v>0</v>
      </c>
      <c r="BZ38" s="202">
        <f t="shared" ref="BZ38:EK43" si="72">ROUNDUP($L38*BZ$4,0)</f>
        <v>0</v>
      </c>
      <c r="CA38" s="202">
        <f t="shared" si="72"/>
        <v>0</v>
      </c>
      <c r="CB38" s="202">
        <f t="shared" si="72"/>
        <v>0</v>
      </c>
      <c r="CC38" s="202">
        <f t="shared" si="72"/>
        <v>0</v>
      </c>
      <c r="CD38" s="202">
        <f t="shared" si="72"/>
        <v>0</v>
      </c>
      <c r="CE38" s="202">
        <f t="shared" si="72"/>
        <v>0</v>
      </c>
      <c r="CF38" s="202">
        <f t="shared" si="72"/>
        <v>0</v>
      </c>
      <c r="CG38" s="202">
        <f t="shared" si="72"/>
        <v>0</v>
      </c>
      <c r="CH38" s="202">
        <f t="shared" si="72"/>
        <v>0</v>
      </c>
      <c r="CI38" s="202">
        <f t="shared" si="72"/>
        <v>0</v>
      </c>
      <c r="CJ38" s="202">
        <f t="shared" si="72"/>
        <v>0</v>
      </c>
      <c r="CK38" s="202">
        <f t="shared" si="72"/>
        <v>0</v>
      </c>
      <c r="CL38" s="202">
        <f t="shared" si="72"/>
        <v>0</v>
      </c>
      <c r="CM38" s="202">
        <f t="shared" si="72"/>
        <v>0</v>
      </c>
      <c r="CN38" s="202">
        <f t="shared" si="72"/>
        <v>0</v>
      </c>
      <c r="CO38" s="202">
        <f t="shared" si="72"/>
        <v>0</v>
      </c>
      <c r="CP38" s="202">
        <f t="shared" si="72"/>
        <v>0</v>
      </c>
      <c r="CQ38" s="202">
        <f t="shared" si="72"/>
        <v>0</v>
      </c>
      <c r="CR38" s="202">
        <f t="shared" si="72"/>
        <v>0</v>
      </c>
      <c r="CS38" s="202">
        <f t="shared" si="72"/>
        <v>0</v>
      </c>
      <c r="CT38" s="202">
        <f t="shared" si="72"/>
        <v>0</v>
      </c>
      <c r="CU38" s="202">
        <f t="shared" si="72"/>
        <v>0</v>
      </c>
      <c r="CV38" s="202">
        <f t="shared" si="72"/>
        <v>0</v>
      </c>
      <c r="CW38" s="202">
        <f t="shared" si="72"/>
        <v>0</v>
      </c>
      <c r="CX38" s="202">
        <f t="shared" si="72"/>
        <v>0</v>
      </c>
      <c r="CY38" s="202">
        <f t="shared" si="72"/>
        <v>0</v>
      </c>
      <c r="CZ38" s="202">
        <f t="shared" si="72"/>
        <v>0</v>
      </c>
      <c r="DA38" s="202">
        <f t="shared" si="72"/>
        <v>0</v>
      </c>
      <c r="DB38" s="202">
        <f t="shared" si="72"/>
        <v>0</v>
      </c>
      <c r="DC38" s="202">
        <f t="shared" si="72"/>
        <v>0</v>
      </c>
      <c r="DD38" s="202">
        <f t="shared" si="72"/>
        <v>0</v>
      </c>
      <c r="DE38" s="202">
        <f t="shared" si="72"/>
        <v>0</v>
      </c>
      <c r="DF38" s="202">
        <f t="shared" si="72"/>
        <v>0</v>
      </c>
      <c r="DG38" s="202">
        <f t="shared" si="72"/>
        <v>0</v>
      </c>
      <c r="DH38" s="202">
        <f t="shared" si="72"/>
        <v>0</v>
      </c>
      <c r="DI38" s="202">
        <f t="shared" si="72"/>
        <v>0</v>
      </c>
      <c r="DJ38" s="202">
        <f t="shared" si="72"/>
        <v>0</v>
      </c>
      <c r="DK38" s="202">
        <f t="shared" si="72"/>
        <v>0</v>
      </c>
      <c r="DL38" s="202">
        <f t="shared" si="72"/>
        <v>0</v>
      </c>
      <c r="DM38" s="202">
        <f t="shared" si="72"/>
        <v>0</v>
      </c>
      <c r="DN38" s="202">
        <f t="shared" si="72"/>
        <v>0</v>
      </c>
      <c r="DO38" s="202">
        <f t="shared" si="72"/>
        <v>0</v>
      </c>
      <c r="DP38" s="202">
        <f t="shared" si="72"/>
        <v>0</v>
      </c>
      <c r="DQ38" s="202">
        <f t="shared" si="72"/>
        <v>0</v>
      </c>
      <c r="DR38" s="202">
        <f t="shared" si="72"/>
        <v>0</v>
      </c>
      <c r="DS38" s="202">
        <f t="shared" si="72"/>
        <v>0</v>
      </c>
      <c r="DT38" s="202">
        <f t="shared" si="72"/>
        <v>0</v>
      </c>
      <c r="DU38" s="202">
        <f t="shared" si="72"/>
        <v>0</v>
      </c>
      <c r="DV38" s="202">
        <f t="shared" si="72"/>
        <v>0</v>
      </c>
      <c r="DW38" s="202">
        <f t="shared" si="72"/>
        <v>0</v>
      </c>
      <c r="DX38" s="202">
        <f t="shared" si="72"/>
        <v>0</v>
      </c>
      <c r="DY38" s="202">
        <f t="shared" si="72"/>
        <v>0</v>
      </c>
      <c r="DZ38" s="202">
        <f t="shared" si="72"/>
        <v>0</v>
      </c>
      <c r="EA38" s="202">
        <f t="shared" si="72"/>
        <v>0</v>
      </c>
      <c r="EB38" s="202">
        <f t="shared" si="72"/>
        <v>0</v>
      </c>
      <c r="EC38" s="202">
        <f t="shared" si="72"/>
        <v>0</v>
      </c>
      <c r="ED38" s="202">
        <f t="shared" si="72"/>
        <v>0</v>
      </c>
      <c r="EE38" s="202">
        <f t="shared" si="72"/>
        <v>0</v>
      </c>
      <c r="EF38" s="202">
        <f t="shared" si="72"/>
        <v>0</v>
      </c>
      <c r="EG38" s="202">
        <f t="shared" si="72"/>
        <v>0</v>
      </c>
      <c r="EH38" s="202">
        <f t="shared" si="72"/>
        <v>0</v>
      </c>
      <c r="EI38" s="202">
        <f t="shared" si="72"/>
        <v>0</v>
      </c>
      <c r="EJ38" s="202">
        <f t="shared" si="72"/>
        <v>0</v>
      </c>
      <c r="EK38" s="202">
        <f t="shared" si="72"/>
        <v>0</v>
      </c>
      <c r="EL38" s="202">
        <f t="shared" si="71"/>
        <v>0</v>
      </c>
      <c r="EM38" s="202">
        <f t="shared" si="71"/>
        <v>0</v>
      </c>
      <c r="EN38" s="202">
        <f t="shared" si="71"/>
        <v>0</v>
      </c>
      <c r="EO38" s="202">
        <f t="shared" si="71"/>
        <v>0</v>
      </c>
      <c r="EP38" s="202">
        <f t="shared" si="71"/>
        <v>0</v>
      </c>
      <c r="EQ38" s="202">
        <f t="shared" si="71"/>
        <v>0</v>
      </c>
      <c r="ER38" s="202">
        <f t="shared" si="71"/>
        <v>0</v>
      </c>
      <c r="ES38" s="202">
        <f t="shared" si="71"/>
        <v>0</v>
      </c>
      <c r="ET38" s="202">
        <f t="shared" si="71"/>
        <v>0</v>
      </c>
      <c r="EU38" s="202">
        <f t="shared" si="71"/>
        <v>0</v>
      </c>
      <c r="EV38" s="202">
        <f t="shared" si="71"/>
        <v>0</v>
      </c>
      <c r="EW38" s="202">
        <f t="shared" si="71"/>
        <v>0</v>
      </c>
      <c r="EX38" s="202">
        <f t="shared" si="71"/>
        <v>0</v>
      </c>
      <c r="EY38" s="202">
        <f t="shared" si="71"/>
        <v>0</v>
      </c>
      <c r="EZ38" s="202">
        <f t="shared" si="71"/>
        <v>0</v>
      </c>
      <c r="FA38" s="202">
        <f t="shared" si="71"/>
        <v>0</v>
      </c>
      <c r="FB38" s="202">
        <f t="shared" si="71"/>
        <v>0</v>
      </c>
      <c r="FC38" s="202">
        <f t="shared" si="71"/>
        <v>0</v>
      </c>
      <c r="FD38" s="202">
        <f t="shared" si="71"/>
        <v>0</v>
      </c>
      <c r="FE38" s="202">
        <f t="shared" si="71"/>
        <v>0</v>
      </c>
      <c r="FF38" s="202">
        <f t="shared" si="71"/>
        <v>0</v>
      </c>
      <c r="FG38" s="202">
        <f t="shared" si="71"/>
        <v>0</v>
      </c>
      <c r="FH38" s="202">
        <f t="shared" si="71"/>
        <v>0</v>
      </c>
      <c r="FI38" s="202">
        <f t="shared" si="71"/>
        <v>0</v>
      </c>
      <c r="FJ38" s="202">
        <f t="shared" si="71"/>
        <v>0</v>
      </c>
      <c r="FK38" s="202">
        <f t="shared" si="71"/>
        <v>0</v>
      </c>
      <c r="FL38" s="202">
        <f t="shared" si="71"/>
        <v>0</v>
      </c>
      <c r="FM38" s="202">
        <f>SUM(טבלה15[[#This Row],[1]:[156]])</f>
        <v>0</v>
      </c>
      <c r="FN38" s="447">
        <f>טבלה15[[#This Row],[סה"כ]]</f>
        <v>0</v>
      </c>
      <c r="FO38" s="220" t="str">
        <f>טבלה15[[#This Row],[מוצר]]</f>
        <v>תירס A2</v>
      </c>
      <c r="FP38" s="220"/>
    </row>
    <row r="39" spans="1:172" ht="16.5" customHeight="1">
      <c r="A39" s="203" t="s">
        <v>668</v>
      </c>
      <c r="B39" s="203">
        <v>5</v>
      </c>
      <c r="C39" s="203">
        <v>2647</v>
      </c>
      <c r="D39" s="427" t="e">
        <f>SUMIF([2]!טבלה6[קוד מוצר],C39,[2]!טבלה6[מחיר לקוח])</f>
        <v>#REF!</v>
      </c>
      <c r="E39" s="203">
        <v>1</v>
      </c>
      <c r="F39" s="458" t="e">
        <f t="shared" si="67"/>
        <v>#REF!</v>
      </c>
      <c r="G39" s="461">
        <v>0.17</v>
      </c>
      <c r="H39" s="458" t="e">
        <f>'בוקר צהרים קיטים '!$F39*'בוקר צהרים קיטים '!$G39</f>
        <v>#REF!</v>
      </c>
      <c r="I39" s="460" t="e">
        <f t="shared" si="60"/>
        <v>#REF!</v>
      </c>
      <c r="J39" s="440" t="s">
        <v>705</v>
      </c>
      <c r="K39" s="444" t="s">
        <v>706</v>
      </c>
      <c r="L39" s="449">
        <f>1/30</f>
        <v>3.3333333333333333E-2</v>
      </c>
      <c r="M39" s="202">
        <f t="shared" si="68"/>
        <v>0</v>
      </c>
      <c r="N39" s="202">
        <f>ROUNDUP($L39*N$4,0)</f>
        <v>0</v>
      </c>
      <c r="O39" s="202">
        <f t="shared" si="69"/>
        <v>0</v>
      </c>
      <c r="P39" s="202">
        <f t="shared" si="69"/>
        <v>0</v>
      </c>
      <c r="Q39" s="202">
        <f t="shared" si="69"/>
        <v>0</v>
      </c>
      <c r="R39" s="202">
        <f t="shared" si="70"/>
        <v>0</v>
      </c>
      <c r="S39" s="202">
        <f t="shared" si="70"/>
        <v>0</v>
      </c>
      <c r="T39" s="202">
        <f t="shared" si="70"/>
        <v>0</v>
      </c>
      <c r="U39" s="202">
        <f t="shared" si="70"/>
        <v>0</v>
      </c>
      <c r="V39" s="202">
        <f t="shared" si="70"/>
        <v>0</v>
      </c>
      <c r="W39" s="202">
        <f t="shared" si="70"/>
        <v>0</v>
      </c>
      <c r="X39" s="202">
        <f t="shared" si="70"/>
        <v>0</v>
      </c>
      <c r="Y39" s="202">
        <f t="shared" si="70"/>
        <v>0</v>
      </c>
      <c r="Z39" s="202">
        <f t="shared" si="70"/>
        <v>0</v>
      </c>
      <c r="AA39" s="202">
        <f t="shared" si="70"/>
        <v>0</v>
      </c>
      <c r="AB39" s="202">
        <f t="shared" si="70"/>
        <v>0</v>
      </c>
      <c r="AC39" s="202">
        <f t="shared" si="70"/>
        <v>0</v>
      </c>
      <c r="AD39" s="202">
        <f t="shared" si="70"/>
        <v>0</v>
      </c>
      <c r="AE39" s="202">
        <f t="shared" si="70"/>
        <v>0</v>
      </c>
      <c r="AF39" s="202">
        <f t="shared" si="70"/>
        <v>0</v>
      </c>
      <c r="AG39" s="202">
        <f t="shared" si="70"/>
        <v>0</v>
      </c>
      <c r="AH39" s="202">
        <f t="shared" si="70"/>
        <v>0</v>
      </c>
      <c r="AI39" s="202">
        <f t="shared" si="70"/>
        <v>0</v>
      </c>
      <c r="AJ39" s="202">
        <f t="shared" si="70"/>
        <v>0</v>
      </c>
      <c r="AK39" s="202">
        <f t="shared" si="70"/>
        <v>0</v>
      </c>
      <c r="AL39" s="202">
        <f t="shared" si="70"/>
        <v>0</v>
      </c>
      <c r="AM39" s="202">
        <f t="shared" si="70"/>
        <v>0</v>
      </c>
      <c r="AN39" s="202">
        <f t="shared" si="70"/>
        <v>0</v>
      </c>
      <c r="AO39" s="202">
        <f t="shared" si="70"/>
        <v>0</v>
      </c>
      <c r="AP39" s="202">
        <f t="shared" si="70"/>
        <v>0</v>
      </c>
      <c r="AQ39" s="202">
        <f t="shared" si="70"/>
        <v>0</v>
      </c>
      <c r="AR39" s="202">
        <f t="shared" si="70"/>
        <v>0</v>
      </c>
      <c r="AS39" s="202">
        <f t="shared" si="70"/>
        <v>0</v>
      </c>
      <c r="AT39" s="202">
        <f t="shared" si="70"/>
        <v>0</v>
      </c>
      <c r="AU39" s="202">
        <f t="shared" si="70"/>
        <v>0</v>
      </c>
      <c r="AV39" s="202">
        <f t="shared" si="70"/>
        <v>0</v>
      </c>
      <c r="AW39" s="202">
        <f t="shared" si="70"/>
        <v>0</v>
      </c>
      <c r="AX39" s="202">
        <f t="shared" si="70"/>
        <v>0</v>
      </c>
      <c r="AY39" s="202">
        <f t="shared" si="70"/>
        <v>0</v>
      </c>
      <c r="AZ39" s="202">
        <f t="shared" si="63"/>
        <v>0</v>
      </c>
      <c r="BA39" s="202">
        <f t="shared" si="63"/>
        <v>0</v>
      </c>
      <c r="BB39" s="202">
        <f t="shared" si="64"/>
        <v>0</v>
      </c>
      <c r="BC39" s="202">
        <f t="shared" si="64"/>
        <v>0</v>
      </c>
      <c r="BD39" s="202">
        <f t="shared" si="64"/>
        <v>0</v>
      </c>
      <c r="BE39" s="202">
        <f t="shared" si="64"/>
        <v>0</v>
      </c>
      <c r="BF39" s="202">
        <f t="shared" si="64"/>
        <v>0</v>
      </c>
      <c r="BG39" s="202">
        <f t="shared" si="64"/>
        <v>0</v>
      </c>
      <c r="BH39" s="202">
        <f t="shared" si="64"/>
        <v>0</v>
      </c>
      <c r="BI39" s="202">
        <f t="shared" si="64"/>
        <v>0</v>
      </c>
      <c r="BJ39" s="202">
        <f t="shared" si="70"/>
        <v>0</v>
      </c>
      <c r="BK39" s="202">
        <f t="shared" si="70"/>
        <v>0</v>
      </c>
      <c r="BL39" s="202">
        <f t="shared" si="70"/>
        <v>0</v>
      </c>
      <c r="BM39" s="202">
        <f t="shared" si="70"/>
        <v>0</v>
      </c>
      <c r="BN39" s="202">
        <f t="shared" si="70"/>
        <v>0</v>
      </c>
      <c r="BO39" s="202">
        <f t="shared" si="70"/>
        <v>0</v>
      </c>
      <c r="BP39" s="202">
        <f t="shared" si="70"/>
        <v>0</v>
      </c>
      <c r="BQ39" s="202">
        <f t="shared" si="70"/>
        <v>0</v>
      </c>
      <c r="BR39" s="202">
        <f t="shared" si="70"/>
        <v>0</v>
      </c>
      <c r="BS39" s="202">
        <f t="shared" si="70"/>
        <v>0</v>
      </c>
      <c r="BT39" s="202">
        <f t="shared" si="70"/>
        <v>0</v>
      </c>
      <c r="BU39" s="202">
        <f t="shared" si="70"/>
        <v>0</v>
      </c>
      <c r="BV39" s="202">
        <f t="shared" si="70"/>
        <v>0</v>
      </c>
      <c r="BW39" s="202">
        <f t="shared" si="70"/>
        <v>0</v>
      </c>
      <c r="BX39" s="202">
        <f t="shared" si="70"/>
        <v>0</v>
      </c>
      <c r="BY39" s="202">
        <f t="shared" si="70"/>
        <v>0</v>
      </c>
      <c r="BZ39" s="202">
        <f t="shared" si="72"/>
        <v>0</v>
      </c>
      <c r="CA39" s="202">
        <f t="shared" si="72"/>
        <v>0</v>
      </c>
      <c r="CB39" s="202">
        <f t="shared" si="72"/>
        <v>0</v>
      </c>
      <c r="CC39" s="202">
        <f t="shared" si="72"/>
        <v>0</v>
      </c>
      <c r="CD39" s="202">
        <f t="shared" si="72"/>
        <v>0</v>
      </c>
      <c r="CE39" s="202">
        <f t="shared" si="72"/>
        <v>0</v>
      </c>
      <c r="CF39" s="202">
        <f t="shared" si="72"/>
        <v>0</v>
      </c>
      <c r="CG39" s="202">
        <f t="shared" si="72"/>
        <v>0</v>
      </c>
      <c r="CH39" s="202">
        <f t="shared" si="72"/>
        <v>0</v>
      </c>
      <c r="CI39" s="202">
        <f t="shared" si="72"/>
        <v>0</v>
      </c>
      <c r="CJ39" s="202">
        <f t="shared" si="72"/>
        <v>0</v>
      </c>
      <c r="CK39" s="202">
        <f t="shared" si="72"/>
        <v>0</v>
      </c>
      <c r="CL39" s="202">
        <f t="shared" si="72"/>
        <v>0</v>
      </c>
      <c r="CM39" s="202">
        <f t="shared" si="72"/>
        <v>0</v>
      </c>
      <c r="CN39" s="202">
        <f t="shared" si="72"/>
        <v>0</v>
      </c>
      <c r="CO39" s="202">
        <f t="shared" si="72"/>
        <v>0</v>
      </c>
      <c r="CP39" s="202">
        <f t="shared" si="72"/>
        <v>0</v>
      </c>
      <c r="CQ39" s="202">
        <f t="shared" si="72"/>
        <v>0</v>
      </c>
      <c r="CR39" s="202">
        <f t="shared" si="72"/>
        <v>0</v>
      </c>
      <c r="CS39" s="202">
        <f t="shared" si="72"/>
        <v>0</v>
      </c>
      <c r="CT39" s="202">
        <f t="shared" si="72"/>
        <v>0</v>
      </c>
      <c r="CU39" s="202">
        <f t="shared" si="72"/>
        <v>0</v>
      </c>
      <c r="CV39" s="202">
        <f t="shared" si="72"/>
        <v>0</v>
      </c>
      <c r="CW39" s="202">
        <f t="shared" si="72"/>
        <v>0</v>
      </c>
      <c r="CX39" s="202">
        <f t="shared" si="72"/>
        <v>0</v>
      </c>
      <c r="CY39" s="202">
        <f t="shared" si="72"/>
        <v>0</v>
      </c>
      <c r="CZ39" s="202">
        <f t="shared" si="72"/>
        <v>0</v>
      </c>
      <c r="DA39" s="202">
        <f t="shared" si="72"/>
        <v>0</v>
      </c>
      <c r="DB39" s="202">
        <f t="shared" si="72"/>
        <v>0</v>
      </c>
      <c r="DC39" s="202">
        <f t="shared" si="72"/>
        <v>0</v>
      </c>
      <c r="DD39" s="202">
        <f t="shared" si="72"/>
        <v>0</v>
      </c>
      <c r="DE39" s="202">
        <f t="shared" si="72"/>
        <v>0</v>
      </c>
      <c r="DF39" s="202">
        <f t="shared" si="72"/>
        <v>0</v>
      </c>
      <c r="DG39" s="202">
        <f t="shared" si="72"/>
        <v>0</v>
      </c>
      <c r="DH39" s="202">
        <f t="shared" si="72"/>
        <v>0</v>
      </c>
      <c r="DI39" s="202">
        <f t="shared" si="72"/>
        <v>0</v>
      </c>
      <c r="DJ39" s="202">
        <f t="shared" si="72"/>
        <v>0</v>
      </c>
      <c r="DK39" s="202">
        <f t="shared" si="72"/>
        <v>0</v>
      </c>
      <c r="DL39" s="202">
        <f t="shared" si="72"/>
        <v>0</v>
      </c>
      <c r="DM39" s="202">
        <f t="shared" si="72"/>
        <v>0</v>
      </c>
      <c r="DN39" s="202">
        <f t="shared" si="72"/>
        <v>0</v>
      </c>
      <c r="DO39" s="202">
        <f t="shared" si="72"/>
        <v>0</v>
      </c>
      <c r="DP39" s="202">
        <f t="shared" si="72"/>
        <v>0</v>
      </c>
      <c r="DQ39" s="202">
        <f t="shared" si="72"/>
        <v>0</v>
      </c>
      <c r="DR39" s="202">
        <f t="shared" si="72"/>
        <v>0</v>
      </c>
      <c r="DS39" s="202">
        <f t="shared" si="72"/>
        <v>0</v>
      </c>
      <c r="DT39" s="202">
        <f t="shared" si="72"/>
        <v>0</v>
      </c>
      <c r="DU39" s="202">
        <f t="shared" si="72"/>
        <v>0</v>
      </c>
      <c r="DV39" s="202">
        <f t="shared" si="72"/>
        <v>0</v>
      </c>
      <c r="DW39" s="202">
        <f t="shared" si="72"/>
        <v>0</v>
      </c>
      <c r="DX39" s="202">
        <f t="shared" si="72"/>
        <v>0</v>
      </c>
      <c r="DY39" s="202">
        <f t="shared" si="72"/>
        <v>0</v>
      </c>
      <c r="DZ39" s="202">
        <f t="shared" si="72"/>
        <v>0</v>
      </c>
      <c r="EA39" s="202">
        <f t="shared" si="72"/>
        <v>0</v>
      </c>
      <c r="EB39" s="202">
        <f t="shared" si="72"/>
        <v>0</v>
      </c>
      <c r="EC39" s="202">
        <f t="shared" si="72"/>
        <v>0</v>
      </c>
      <c r="ED39" s="202">
        <f t="shared" si="72"/>
        <v>0</v>
      </c>
      <c r="EE39" s="202">
        <f t="shared" si="72"/>
        <v>0</v>
      </c>
      <c r="EF39" s="202">
        <f t="shared" si="72"/>
        <v>0</v>
      </c>
      <c r="EG39" s="202">
        <f t="shared" si="72"/>
        <v>0</v>
      </c>
      <c r="EH39" s="202">
        <f t="shared" si="72"/>
        <v>0</v>
      </c>
      <c r="EI39" s="202">
        <f t="shared" si="72"/>
        <v>0</v>
      </c>
      <c r="EJ39" s="202">
        <f t="shared" si="72"/>
        <v>0</v>
      </c>
      <c r="EK39" s="202">
        <f t="shared" si="72"/>
        <v>0</v>
      </c>
      <c r="EL39" s="202">
        <f t="shared" si="71"/>
        <v>0</v>
      </c>
      <c r="EM39" s="202">
        <f t="shared" si="71"/>
        <v>0</v>
      </c>
      <c r="EN39" s="202">
        <f t="shared" si="71"/>
        <v>0</v>
      </c>
      <c r="EO39" s="202">
        <f t="shared" si="71"/>
        <v>0</v>
      </c>
      <c r="EP39" s="202">
        <f t="shared" si="71"/>
        <v>0</v>
      </c>
      <c r="EQ39" s="202">
        <f t="shared" si="71"/>
        <v>0</v>
      </c>
      <c r="ER39" s="202">
        <f t="shared" si="71"/>
        <v>0</v>
      </c>
      <c r="ES39" s="202">
        <f t="shared" si="71"/>
        <v>0</v>
      </c>
      <c r="ET39" s="202">
        <f t="shared" si="71"/>
        <v>0</v>
      </c>
      <c r="EU39" s="202">
        <f t="shared" si="71"/>
        <v>0</v>
      </c>
      <c r="EV39" s="202">
        <f t="shared" si="71"/>
        <v>0</v>
      </c>
      <c r="EW39" s="202">
        <f t="shared" si="71"/>
        <v>0</v>
      </c>
      <c r="EX39" s="202">
        <f t="shared" si="71"/>
        <v>0</v>
      </c>
      <c r="EY39" s="202">
        <f t="shared" si="71"/>
        <v>0</v>
      </c>
      <c r="EZ39" s="202">
        <f t="shared" si="71"/>
        <v>0</v>
      </c>
      <c r="FA39" s="202">
        <f t="shared" si="71"/>
        <v>0</v>
      </c>
      <c r="FB39" s="202">
        <f t="shared" si="71"/>
        <v>0</v>
      </c>
      <c r="FC39" s="202">
        <f t="shared" si="71"/>
        <v>0</v>
      </c>
      <c r="FD39" s="202">
        <f t="shared" si="71"/>
        <v>0</v>
      </c>
      <c r="FE39" s="202">
        <f t="shared" si="71"/>
        <v>0</v>
      </c>
      <c r="FF39" s="202">
        <f t="shared" si="71"/>
        <v>0</v>
      </c>
      <c r="FG39" s="202">
        <f t="shared" si="71"/>
        <v>0</v>
      </c>
      <c r="FH39" s="202">
        <f t="shared" si="71"/>
        <v>0</v>
      </c>
      <c r="FI39" s="202">
        <f t="shared" si="71"/>
        <v>0</v>
      </c>
      <c r="FJ39" s="202">
        <f t="shared" si="71"/>
        <v>0</v>
      </c>
      <c r="FK39" s="202">
        <f t="shared" si="71"/>
        <v>0</v>
      </c>
      <c r="FL39" s="202">
        <f t="shared" si="71"/>
        <v>0</v>
      </c>
      <c r="FM39" s="202">
        <f>SUM(טבלה15[[#This Row],[1]:[156]])</f>
        <v>0</v>
      </c>
      <c r="FN39" s="447">
        <f>טבלה15[[#This Row],[סה"כ]]</f>
        <v>0</v>
      </c>
      <c r="FO39" s="220" t="str">
        <f>טבלה15[[#This Row],[מוצר]]</f>
        <v>שוקולד השחר (פרווה) 400 ג'</v>
      </c>
      <c r="FP39" s="220"/>
    </row>
    <row r="40" spans="1:172" ht="16.5" customHeight="1">
      <c r="A40" s="203" t="s">
        <v>668</v>
      </c>
      <c r="B40" s="203">
        <v>6</v>
      </c>
      <c r="C40" s="203">
        <v>6975</v>
      </c>
      <c r="D40" s="427" t="e">
        <f>SUMIF([2]!טבלה6[קוד מוצר],C40,[2]!טבלה6[מחיר לקוח])</f>
        <v>#REF!</v>
      </c>
      <c r="E40" s="203">
        <v>1</v>
      </c>
      <c r="F40" s="458" t="e">
        <f t="shared" si="67"/>
        <v>#REF!</v>
      </c>
      <c r="G40" s="461">
        <v>0.17</v>
      </c>
      <c r="H40" s="458" t="e">
        <f>'בוקר צהרים קיטים '!$F40*'בוקר צהרים קיטים '!$G40</f>
        <v>#REF!</v>
      </c>
      <c r="I40" s="460" t="e">
        <f t="shared" si="60"/>
        <v>#REF!</v>
      </c>
      <c r="J40" s="440" t="s">
        <v>41</v>
      </c>
      <c r="K40" s="444" t="s">
        <v>706</v>
      </c>
      <c r="L40" s="449">
        <f>1/30</f>
        <v>3.3333333333333333E-2</v>
      </c>
      <c r="M40" s="202">
        <f t="shared" si="68"/>
        <v>0</v>
      </c>
      <c r="N40" s="202">
        <f t="shared" si="69"/>
        <v>0</v>
      </c>
      <c r="O40" s="202">
        <f t="shared" si="69"/>
        <v>0</v>
      </c>
      <c r="P40" s="202">
        <f t="shared" si="69"/>
        <v>0</v>
      </c>
      <c r="Q40" s="202">
        <f t="shared" si="69"/>
        <v>0</v>
      </c>
      <c r="R40" s="202">
        <f t="shared" si="70"/>
        <v>0</v>
      </c>
      <c r="S40" s="202">
        <f t="shared" si="70"/>
        <v>0</v>
      </c>
      <c r="T40" s="202">
        <f t="shared" si="70"/>
        <v>0</v>
      </c>
      <c r="U40" s="202">
        <f t="shared" si="70"/>
        <v>0</v>
      </c>
      <c r="V40" s="202">
        <f t="shared" si="70"/>
        <v>0</v>
      </c>
      <c r="W40" s="202">
        <f t="shared" si="70"/>
        <v>0</v>
      </c>
      <c r="X40" s="202">
        <f t="shared" si="70"/>
        <v>0</v>
      </c>
      <c r="Y40" s="202">
        <f t="shared" si="70"/>
        <v>0</v>
      </c>
      <c r="Z40" s="202">
        <f t="shared" si="70"/>
        <v>0</v>
      </c>
      <c r="AA40" s="202">
        <f t="shared" si="70"/>
        <v>0</v>
      </c>
      <c r="AB40" s="202">
        <f t="shared" si="70"/>
        <v>0</v>
      </c>
      <c r="AC40" s="202">
        <f t="shared" si="70"/>
        <v>0</v>
      </c>
      <c r="AD40" s="202">
        <f t="shared" si="70"/>
        <v>0</v>
      </c>
      <c r="AE40" s="202">
        <f t="shared" si="70"/>
        <v>0</v>
      </c>
      <c r="AF40" s="202">
        <f t="shared" si="70"/>
        <v>0</v>
      </c>
      <c r="AG40" s="202">
        <f t="shared" si="70"/>
        <v>0</v>
      </c>
      <c r="AH40" s="202">
        <f t="shared" si="70"/>
        <v>0</v>
      </c>
      <c r="AI40" s="202">
        <f t="shared" si="70"/>
        <v>0</v>
      </c>
      <c r="AJ40" s="202">
        <f t="shared" si="70"/>
        <v>0</v>
      </c>
      <c r="AK40" s="202">
        <f t="shared" si="70"/>
        <v>0</v>
      </c>
      <c r="AL40" s="202">
        <f t="shared" si="70"/>
        <v>0</v>
      </c>
      <c r="AM40" s="202">
        <f t="shared" si="70"/>
        <v>0</v>
      </c>
      <c r="AN40" s="202">
        <f t="shared" si="70"/>
        <v>0</v>
      </c>
      <c r="AO40" s="202">
        <f t="shared" si="70"/>
        <v>0</v>
      </c>
      <c r="AP40" s="202">
        <f t="shared" si="70"/>
        <v>0</v>
      </c>
      <c r="AQ40" s="202">
        <f t="shared" si="70"/>
        <v>0</v>
      </c>
      <c r="AR40" s="202">
        <f t="shared" si="70"/>
        <v>0</v>
      </c>
      <c r="AS40" s="202">
        <f t="shared" si="70"/>
        <v>0</v>
      </c>
      <c r="AT40" s="202">
        <f t="shared" si="70"/>
        <v>0</v>
      </c>
      <c r="AU40" s="202">
        <f t="shared" si="70"/>
        <v>0</v>
      </c>
      <c r="AV40" s="202">
        <f t="shared" si="70"/>
        <v>0</v>
      </c>
      <c r="AW40" s="202">
        <f t="shared" si="70"/>
        <v>0</v>
      </c>
      <c r="AX40" s="202">
        <f t="shared" si="70"/>
        <v>0</v>
      </c>
      <c r="AY40" s="202">
        <f t="shared" si="70"/>
        <v>0</v>
      </c>
      <c r="AZ40" s="202">
        <f t="shared" si="63"/>
        <v>0</v>
      </c>
      <c r="BA40" s="202">
        <f t="shared" si="63"/>
        <v>0</v>
      </c>
      <c r="BB40" s="202">
        <f t="shared" si="64"/>
        <v>0</v>
      </c>
      <c r="BC40" s="202">
        <f t="shared" si="64"/>
        <v>0</v>
      </c>
      <c r="BD40" s="202">
        <f t="shared" si="64"/>
        <v>0</v>
      </c>
      <c r="BE40" s="202">
        <f t="shared" si="64"/>
        <v>0</v>
      </c>
      <c r="BF40" s="202">
        <f t="shared" si="64"/>
        <v>0</v>
      </c>
      <c r="BG40" s="202">
        <f t="shared" si="64"/>
        <v>0</v>
      </c>
      <c r="BH40" s="202">
        <f t="shared" si="64"/>
        <v>0</v>
      </c>
      <c r="BI40" s="202">
        <f t="shared" si="64"/>
        <v>0</v>
      </c>
      <c r="BJ40" s="202">
        <f t="shared" si="70"/>
        <v>0</v>
      </c>
      <c r="BK40" s="202">
        <f t="shared" si="70"/>
        <v>0</v>
      </c>
      <c r="BL40" s="202">
        <f t="shared" si="70"/>
        <v>0</v>
      </c>
      <c r="BM40" s="202">
        <f t="shared" si="70"/>
        <v>0</v>
      </c>
      <c r="BN40" s="202">
        <f t="shared" si="70"/>
        <v>0</v>
      </c>
      <c r="BO40" s="202">
        <f t="shared" si="70"/>
        <v>0</v>
      </c>
      <c r="BP40" s="202">
        <f t="shared" si="70"/>
        <v>0</v>
      </c>
      <c r="BQ40" s="202">
        <f t="shared" si="70"/>
        <v>0</v>
      </c>
      <c r="BR40" s="202">
        <f t="shared" si="70"/>
        <v>0</v>
      </c>
      <c r="BS40" s="202">
        <f t="shared" si="70"/>
        <v>0</v>
      </c>
      <c r="BT40" s="202">
        <f t="shared" si="70"/>
        <v>0</v>
      </c>
      <c r="BU40" s="202">
        <f t="shared" si="70"/>
        <v>0</v>
      </c>
      <c r="BV40" s="202">
        <f t="shared" si="70"/>
        <v>0</v>
      </c>
      <c r="BW40" s="202">
        <f t="shared" si="70"/>
        <v>0</v>
      </c>
      <c r="BX40" s="202">
        <f t="shared" si="70"/>
        <v>0</v>
      </c>
      <c r="BY40" s="202">
        <f t="shared" ref="BY40:EJ43" si="73">ROUNDUP($L40*BY$4,0)</f>
        <v>0</v>
      </c>
      <c r="BZ40" s="202">
        <f t="shared" si="73"/>
        <v>0</v>
      </c>
      <c r="CA40" s="202">
        <f t="shared" si="73"/>
        <v>0</v>
      </c>
      <c r="CB40" s="202">
        <f t="shared" si="73"/>
        <v>0</v>
      </c>
      <c r="CC40" s="202">
        <f t="shared" si="73"/>
        <v>0</v>
      </c>
      <c r="CD40" s="202">
        <f t="shared" si="73"/>
        <v>0</v>
      </c>
      <c r="CE40" s="202">
        <f t="shared" si="73"/>
        <v>0</v>
      </c>
      <c r="CF40" s="202">
        <f t="shared" si="73"/>
        <v>0</v>
      </c>
      <c r="CG40" s="202">
        <f t="shared" si="73"/>
        <v>0</v>
      </c>
      <c r="CH40" s="202">
        <f t="shared" si="73"/>
        <v>0</v>
      </c>
      <c r="CI40" s="202">
        <f t="shared" si="73"/>
        <v>0</v>
      </c>
      <c r="CJ40" s="202">
        <f t="shared" si="73"/>
        <v>0</v>
      </c>
      <c r="CK40" s="202">
        <f t="shared" si="73"/>
        <v>0</v>
      </c>
      <c r="CL40" s="202">
        <f t="shared" si="73"/>
        <v>0</v>
      </c>
      <c r="CM40" s="202">
        <f t="shared" si="73"/>
        <v>0</v>
      </c>
      <c r="CN40" s="202">
        <f t="shared" si="73"/>
        <v>0</v>
      </c>
      <c r="CO40" s="202">
        <f t="shared" si="73"/>
        <v>0</v>
      </c>
      <c r="CP40" s="202">
        <f t="shared" si="73"/>
        <v>0</v>
      </c>
      <c r="CQ40" s="202">
        <f t="shared" si="73"/>
        <v>0</v>
      </c>
      <c r="CR40" s="202">
        <f t="shared" si="73"/>
        <v>0</v>
      </c>
      <c r="CS40" s="202">
        <f t="shared" si="73"/>
        <v>0</v>
      </c>
      <c r="CT40" s="202">
        <f t="shared" si="73"/>
        <v>0</v>
      </c>
      <c r="CU40" s="202">
        <f t="shared" si="73"/>
        <v>0</v>
      </c>
      <c r="CV40" s="202">
        <f t="shared" si="73"/>
        <v>0</v>
      </c>
      <c r="CW40" s="202">
        <f t="shared" si="73"/>
        <v>0</v>
      </c>
      <c r="CX40" s="202">
        <f t="shared" si="73"/>
        <v>0</v>
      </c>
      <c r="CY40" s="202">
        <f t="shared" si="73"/>
        <v>0</v>
      </c>
      <c r="CZ40" s="202">
        <f t="shared" si="73"/>
        <v>0</v>
      </c>
      <c r="DA40" s="202">
        <f t="shared" si="73"/>
        <v>0</v>
      </c>
      <c r="DB40" s="202">
        <f t="shared" si="73"/>
        <v>0</v>
      </c>
      <c r="DC40" s="202">
        <f t="shared" si="73"/>
        <v>0</v>
      </c>
      <c r="DD40" s="202">
        <f t="shared" si="73"/>
        <v>0</v>
      </c>
      <c r="DE40" s="202">
        <f t="shared" si="73"/>
        <v>0</v>
      </c>
      <c r="DF40" s="202">
        <f t="shared" si="73"/>
        <v>0</v>
      </c>
      <c r="DG40" s="202">
        <f t="shared" si="73"/>
        <v>0</v>
      </c>
      <c r="DH40" s="202">
        <f t="shared" si="73"/>
        <v>0</v>
      </c>
      <c r="DI40" s="202">
        <f t="shared" si="73"/>
        <v>0</v>
      </c>
      <c r="DJ40" s="202">
        <f t="shared" si="73"/>
        <v>0</v>
      </c>
      <c r="DK40" s="202">
        <f t="shared" si="73"/>
        <v>0</v>
      </c>
      <c r="DL40" s="202">
        <f t="shared" si="73"/>
        <v>0</v>
      </c>
      <c r="DM40" s="202">
        <f t="shared" si="73"/>
        <v>0</v>
      </c>
      <c r="DN40" s="202">
        <f t="shared" si="73"/>
        <v>0</v>
      </c>
      <c r="DO40" s="202">
        <f t="shared" si="73"/>
        <v>0</v>
      </c>
      <c r="DP40" s="202">
        <f t="shared" si="73"/>
        <v>0</v>
      </c>
      <c r="DQ40" s="202">
        <f t="shared" si="73"/>
        <v>0</v>
      </c>
      <c r="DR40" s="202">
        <f t="shared" si="73"/>
        <v>0</v>
      </c>
      <c r="DS40" s="202">
        <f t="shared" si="73"/>
        <v>0</v>
      </c>
      <c r="DT40" s="202">
        <f t="shared" si="73"/>
        <v>0</v>
      </c>
      <c r="DU40" s="202">
        <f t="shared" si="73"/>
        <v>0</v>
      </c>
      <c r="DV40" s="202">
        <f t="shared" si="73"/>
        <v>0</v>
      </c>
      <c r="DW40" s="202">
        <f t="shared" si="73"/>
        <v>0</v>
      </c>
      <c r="DX40" s="202">
        <f t="shared" si="73"/>
        <v>0</v>
      </c>
      <c r="DY40" s="202">
        <f t="shared" si="73"/>
        <v>0</v>
      </c>
      <c r="DZ40" s="202">
        <f t="shared" si="73"/>
        <v>0</v>
      </c>
      <c r="EA40" s="202">
        <f t="shared" si="73"/>
        <v>0</v>
      </c>
      <c r="EB40" s="202">
        <f t="shared" si="73"/>
        <v>0</v>
      </c>
      <c r="EC40" s="202">
        <f t="shared" si="73"/>
        <v>0</v>
      </c>
      <c r="ED40" s="202">
        <f t="shared" si="73"/>
        <v>0</v>
      </c>
      <c r="EE40" s="202">
        <f t="shared" si="73"/>
        <v>0</v>
      </c>
      <c r="EF40" s="202">
        <f t="shared" si="73"/>
        <v>0</v>
      </c>
      <c r="EG40" s="202">
        <f t="shared" si="73"/>
        <v>0</v>
      </c>
      <c r="EH40" s="202">
        <f t="shared" si="73"/>
        <v>0</v>
      </c>
      <c r="EI40" s="202">
        <f t="shared" si="73"/>
        <v>0</v>
      </c>
      <c r="EJ40" s="202">
        <f t="shared" si="73"/>
        <v>0</v>
      </c>
      <c r="EK40" s="202">
        <f t="shared" si="72"/>
        <v>0</v>
      </c>
      <c r="EL40" s="202">
        <f t="shared" si="71"/>
        <v>0</v>
      </c>
      <c r="EM40" s="202">
        <f t="shared" si="71"/>
        <v>0</v>
      </c>
      <c r="EN40" s="202">
        <f t="shared" si="71"/>
        <v>0</v>
      </c>
      <c r="EO40" s="202">
        <f t="shared" si="71"/>
        <v>0</v>
      </c>
      <c r="EP40" s="202">
        <f t="shared" si="71"/>
        <v>0</v>
      </c>
      <c r="EQ40" s="202">
        <f t="shared" si="71"/>
        <v>0</v>
      </c>
      <c r="ER40" s="202">
        <f t="shared" si="71"/>
        <v>0</v>
      </c>
      <c r="ES40" s="202">
        <f t="shared" si="71"/>
        <v>0</v>
      </c>
      <c r="ET40" s="202">
        <f t="shared" si="71"/>
        <v>0</v>
      </c>
      <c r="EU40" s="202">
        <f t="shared" si="71"/>
        <v>0</v>
      </c>
      <c r="EV40" s="202">
        <f t="shared" si="71"/>
        <v>0</v>
      </c>
      <c r="EW40" s="202">
        <f t="shared" si="71"/>
        <v>0</v>
      </c>
      <c r="EX40" s="202">
        <f t="shared" si="71"/>
        <v>0</v>
      </c>
      <c r="EY40" s="202">
        <f t="shared" si="71"/>
        <v>0</v>
      </c>
      <c r="EZ40" s="202">
        <f t="shared" si="71"/>
        <v>0</v>
      </c>
      <c r="FA40" s="202">
        <f t="shared" si="71"/>
        <v>0</v>
      </c>
      <c r="FB40" s="202">
        <f t="shared" si="71"/>
        <v>0</v>
      </c>
      <c r="FC40" s="202">
        <f t="shared" si="71"/>
        <v>0</v>
      </c>
      <c r="FD40" s="202">
        <f t="shared" si="71"/>
        <v>0</v>
      </c>
      <c r="FE40" s="202">
        <f t="shared" si="71"/>
        <v>0</v>
      </c>
      <c r="FF40" s="202">
        <f t="shared" si="71"/>
        <v>0</v>
      </c>
      <c r="FG40" s="202">
        <f t="shared" si="71"/>
        <v>0</v>
      </c>
      <c r="FH40" s="202">
        <f t="shared" si="71"/>
        <v>0</v>
      </c>
      <c r="FI40" s="202">
        <f t="shared" si="71"/>
        <v>0</v>
      </c>
      <c r="FJ40" s="202">
        <f t="shared" si="71"/>
        <v>0</v>
      </c>
      <c r="FK40" s="202">
        <f t="shared" si="71"/>
        <v>0</v>
      </c>
      <c r="FL40" s="202">
        <f t="shared" si="71"/>
        <v>0</v>
      </c>
      <c r="FM40" s="202">
        <f>SUM(טבלה15[[#This Row],[1]:[156]])</f>
        <v>0</v>
      </c>
      <c r="FN40" s="447">
        <f>טבלה15[[#This Row],[סה"כ]]</f>
        <v>0</v>
      </c>
      <c r="FO40" s="220" t="str">
        <f>טבלה15[[#This Row],[מוצר]]</f>
        <v>טחינה</v>
      </c>
      <c r="FP40" s="220"/>
    </row>
    <row r="41" spans="1:172" ht="16.5" customHeight="1">
      <c r="A41" s="203" t="s">
        <v>211</v>
      </c>
      <c r="B41" s="203">
        <v>7</v>
      </c>
      <c r="C41" s="203">
        <v>4370</v>
      </c>
      <c r="D41" s="427" t="e">
        <f>SUMIF([2]!טבלה6[קוד מוצר],C41,[2]!טבלה6[מחיר לקוח])</f>
        <v>#REF!</v>
      </c>
      <c r="E41" s="203">
        <v>16</v>
      </c>
      <c r="F41" s="458" t="e">
        <f t="shared" si="67"/>
        <v>#REF!</v>
      </c>
      <c r="G41" s="461">
        <v>0.17</v>
      </c>
      <c r="H41" s="458" t="e">
        <f>'בוקר צהרים קיטים '!$F41*'בוקר צהרים קיטים '!$G41</f>
        <v>#REF!</v>
      </c>
      <c r="I41" s="460" t="e">
        <f t="shared" si="60"/>
        <v>#REF!</v>
      </c>
      <c r="J41" s="440" t="s">
        <v>707</v>
      </c>
      <c r="K41" s="444" t="s">
        <v>708</v>
      </c>
      <c r="L41" s="449">
        <f>1/2</f>
        <v>0.5</v>
      </c>
      <c r="M41" s="202">
        <f t="shared" si="68"/>
        <v>0</v>
      </c>
      <c r="N41" s="202">
        <f t="shared" si="69"/>
        <v>0</v>
      </c>
      <c r="O41" s="202">
        <f>ROUNDUP($L41*O$4,0)</f>
        <v>0</v>
      </c>
      <c r="P41" s="202">
        <f t="shared" si="69"/>
        <v>0</v>
      </c>
      <c r="Q41" s="202">
        <f t="shared" si="69"/>
        <v>0</v>
      </c>
      <c r="R41" s="202">
        <f t="shared" ref="R41:BY43" si="74">ROUNDUP($L41*R$4,0)</f>
        <v>0</v>
      </c>
      <c r="S41" s="202">
        <f t="shared" si="74"/>
        <v>0</v>
      </c>
      <c r="T41" s="202">
        <f t="shared" si="74"/>
        <v>0</v>
      </c>
      <c r="U41" s="202">
        <f t="shared" si="74"/>
        <v>0</v>
      </c>
      <c r="V41" s="202">
        <f t="shared" si="74"/>
        <v>0</v>
      </c>
      <c r="W41" s="202">
        <f t="shared" si="74"/>
        <v>0</v>
      </c>
      <c r="X41" s="202">
        <f t="shared" si="74"/>
        <v>0</v>
      </c>
      <c r="Y41" s="202">
        <f t="shared" si="74"/>
        <v>0</v>
      </c>
      <c r="Z41" s="202">
        <f t="shared" si="74"/>
        <v>0</v>
      </c>
      <c r="AA41" s="202">
        <f t="shared" si="74"/>
        <v>0</v>
      </c>
      <c r="AB41" s="202">
        <f t="shared" si="74"/>
        <v>0</v>
      </c>
      <c r="AC41" s="202">
        <f t="shared" si="74"/>
        <v>0</v>
      </c>
      <c r="AD41" s="202">
        <f t="shared" si="74"/>
        <v>0</v>
      </c>
      <c r="AE41" s="202">
        <f t="shared" si="74"/>
        <v>0</v>
      </c>
      <c r="AF41" s="202">
        <f t="shared" si="74"/>
        <v>0</v>
      </c>
      <c r="AG41" s="202">
        <f t="shared" si="74"/>
        <v>0</v>
      </c>
      <c r="AH41" s="202">
        <f t="shared" si="74"/>
        <v>0</v>
      </c>
      <c r="AI41" s="202">
        <f t="shared" si="74"/>
        <v>0</v>
      </c>
      <c r="AJ41" s="202">
        <f t="shared" si="74"/>
        <v>0</v>
      </c>
      <c r="AK41" s="202">
        <f t="shared" si="74"/>
        <v>0</v>
      </c>
      <c r="AL41" s="202">
        <f t="shared" si="74"/>
        <v>0</v>
      </c>
      <c r="AM41" s="202">
        <f t="shared" si="74"/>
        <v>0</v>
      </c>
      <c r="AN41" s="202">
        <f t="shared" si="74"/>
        <v>0</v>
      </c>
      <c r="AO41" s="202">
        <f t="shared" si="74"/>
        <v>0</v>
      </c>
      <c r="AP41" s="202">
        <f t="shared" si="74"/>
        <v>0</v>
      </c>
      <c r="AQ41" s="202">
        <f t="shared" si="74"/>
        <v>0</v>
      </c>
      <c r="AR41" s="202">
        <f t="shared" si="74"/>
        <v>0</v>
      </c>
      <c r="AS41" s="202">
        <f t="shared" si="74"/>
        <v>0</v>
      </c>
      <c r="AT41" s="202">
        <f t="shared" si="74"/>
        <v>0</v>
      </c>
      <c r="AU41" s="202">
        <f t="shared" si="74"/>
        <v>0</v>
      </c>
      <c r="AV41" s="202">
        <f t="shared" si="74"/>
        <v>0</v>
      </c>
      <c r="AW41" s="202">
        <f t="shared" si="74"/>
        <v>0</v>
      </c>
      <c r="AX41" s="202">
        <f t="shared" si="74"/>
        <v>0</v>
      </c>
      <c r="AY41" s="202">
        <f t="shared" si="74"/>
        <v>0</v>
      </c>
      <c r="AZ41" s="202">
        <f t="shared" si="63"/>
        <v>0</v>
      </c>
      <c r="BA41" s="202">
        <f t="shared" si="63"/>
        <v>0</v>
      </c>
      <c r="BB41" s="202">
        <f t="shared" si="64"/>
        <v>0</v>
      </c>
      <c r="BC41" s="202">
        <f t="shared" si="64"/>
        <v>0</v>
      </c>
      <c r="BD41" s="202">
        <f t="shared" si="64"/>
        <v>0</v>
      </c>
      <c r="BE41" s="202">
        <f t="shared" si="64"/>
        <v>0</v>
      </c>
      <c r="BF41" s="202">
        <f t="shared" si="64"/>
        <v>0</v>
      </c>
      <c r="BG41" s="202">
        <f t="shared" si="64"/>
        <v>0</v>
      </c>
      <c r="BH41" s="202">
        <f t="shared" si="64"/>
        <v>0</v>
      </c>
      <c r="BI41" s="202">
        <f t="shared" si="64"/>
        <v>0</v>
      </c>
      <c r="BJ41" s="202">
        <f t="shared" si="74"/>
        <v>0</v>
      </c>
      <c r="BK41" s="202">
        <f t="shared" si="74"/>
        <v>0</v>
      </c>
      <c r="BL41" s="202">
        <f t="shared" si="74"/>
        <v>0</v>
      </c>
      <c r="BM41" s="202">
        <f t="shared" si="74"/>
        <v>0</v>
      </c>
      <c r="BN41" s="202">
        <f t="shared" si="74"/>
        <v>0</v>
      </c>
      <c r="BO41" s="202">
        <f t="shared" si="74"/>
        <v>0</v>
      </c>
      <c r="BP41" s="202">
        <f t="shared" si="74"/>
        <v>0</v>
      </c>
      <c r="BQ41" s="202">
        <f t="shared" si="74"/>
        <v>0</v>
      </c>
      <c r="BR41" s="202">
        <f t="shared" si="74"/>
        <v>0</v>
      </c>
      <c r="BS41" s="202">
        <f t="shared" si="74"/>
        <v>0</v>
      </c>
      <c r="BT41" s="202">
        <f t="shared" si="74"/>
        <v>0</v>
      </c>
      <c r="BU41" s="202">
        <f t="shared" si="74"/>
        <v>0</v>
      </c>
      <c r="BV41" s="202">
        <f t="shared" si="74"/>
        <v>0</v>
      </c>
      <c r="BW41" s="202">
        <f t="shared" si="74"/>
        <v>0</v>
      </c>
      <c r="BX41" s="202">
        <f t="shared" si="74"/>
        <v>0</v>
      </c>
      <c r="BY41" s="202">
        <f t="shared" si="74"/>
        <v>0</v>
      </c>
      <c r="BZ41" s="202">
        <f t="shared" si="73"/>
        <v>0</v>
      </c>
      <c r="CA41" s="202">
        <f t="shared" si="73"/>
        <v>0</v>
      </c>
      <c r="CB41" s="202">
        <f t="shared" si="73"/>
        <v>0</v>
      </c>
      <c r="CC41" s="202">
        <f t="shared" si="73"/>
        <v>0</v>
      </c>
      <c r="CD41" s="202">
        <f t="shared" si="73"/>
        <v>0</v>
      </c>
      <c r="CE41" s="202">
        <f t="shared" si="73"/>
        <v>0</v>
      </c>
      <c r="CF41" s="202">
        <f t="shared" si="73"/>
        <v>0</v>
      </c>
      <c r="CG41" s="202">
        <f t="shared" si="73"/>
        <v>0</v>
      </c>
      <c r="CH41" s="202">
        <f t="shared" si="73"/>
        <v>0</v>
      </c>
      <c r="CI41" s="202">
        <f t="shared" si="73"/>
        <v>0</v>
      </c>
      <c r="CJ41" s="202">
        <f t="shared" si="73"/>
        <v>0</v>
      </c>
      <c r="CK41" s="202">
        <f t="shared" si="73"/>
        <v>0</v>
      </c>
      <c r="CL41" s="202">
        <f t="shared" si="73"/>
        <v>0</v>
      </c>
      <c r="CM41" s="202">
        <f t="shared" si="73"/>
        <v>0</v>
      </c>
      <c r="CN41" s="202">
        <f t="shared" si="73"/>
        <v>0</v>
      </c>
      <c r="CO41" s="202">
        <f t="shared" si="73"/>
        <v>0</v>
      </c>
      <c r="CP41" s="202">
        <f t="shared" si="73"/>
        <v>0</v>
      </c>
      <c r="CQ41" s="202">
        <f t="shared" si="73"/>
        <v>0</v>
      </c>
      <c r="CR41" s="202">
        <f t="shared" si="73"/>
        <v>0</v>
      </c>
      <c r="CS41" s="202">
        <f t="shared" si="73"/>
        <v>0</v>
      </c>
      <c r="CT41" s="202">
        <f t="shared" si="73"/>
        <v>0</v>
      </c>
      <c r="CU41" s="202">
        <f t="shared" si="73"/>
        <v>0</v>
      </c>
      <c r="CV41" s="202">
        <f t="shared" si="73"/>
        <v>0</v>
      </c>
      <c r="CW41" s="202">
        <f t="shared" si="73"/>
        <v>0</v>
      </c>
      <c r="CX41" s="202">
        <f t="shared" si="73"/>
        <v>0</v>
      </c>
      <c r="CY41" s="202">
        <f t="shared" si="73"/>
        <v>0</v>
      </c>
      <c r="CZ41" s="202">
        <f t="shared" si="73"/>
        <v>0</v>
      </c>
      <c r="DA41" s="202">
        <f t="shared" si="73"/>
        <v>0</v>
      </c>
      <c r="DB41" s="202">
        <f t="shared" si="73"/>
        <v>0</v>
      </c>
      <c r="DC41" s="202">
        <f t="shared" si="73"/>
        <v>0</v>
      </c>
      <c r="DD41" s="202">
        <f t="shared" si="73"/>
        <v>0</v>
      </c>
      <c r="DE41" s="202">
        <f t="shared" si="73"/>
        <v>0</v>
      </c>
      <c r="DF41" s="202">
        <f t="shared" si="73"/>
        <v>0</v>
      </c>
      <c r="DG41" s="202">
        <f t="shared" si="73"/>
        <v>0</v>
      </c>
      <c r="DH41" s="202">
        <f t="shared" si="73"/>
        <v>0</v>
      </c>
      <c r="DI41" s="202">
        <f t="shared" si="73"/>
        <v>0</v>
      </c>
      <c r="DJ41" s="202">
        <f t="shared" si="73"/>
        <v>0</v>
      </c>
      <c r="DK41" s="202">
        <f t="shared" si="73"/>
        <v>0</v>
      </c>
      <c r="DL41" s="202">
        <f t="shared" si="73"/>
        <v>0</v>
      </c>
      <c r="DM41" s="202">
        <f t="shared" si="73"/>
        <v>0</v>
      </c>
      <c r="DN41" s="202">
        <f t="shared" si="73"/>
        <v>0</v>
      </c>
      <c r="DO41" s="202">
        <f t="shared" si="73"/>
        <v>0</v>
      </c>
      <c r="DP41" s="202">
        <f t="shared" si="73"/>
        <v>0</v>
      </c>
      <c r="DQ41" s="202">
        <f t="shared" si="73"/>
        <v>0</v>
      </c>
      <c r="DR41" s="202">
        <f t="shared" si="73"/>
        <v>0</v>
      </c>
      <c r="DS41" s="202">
        <f t="shared" si="73"/>
        <v>0</v>
      </c>
      <c r="DT41" s="202">
        <f t="shared" si="73"/>
        <v>0</v>
      </c>
      <c r="DU41" s="202">
        <f t="shared" si="73"/>
        <v>0</v>
      </c>
      <c r="DV41" s="202">
        <f t="shared" si="73"/>
        <v>0</v>
      </c>
      <c r="DW41" s="202">
        <f t="shared" si="73"/>
        <v>0</v>
      </c>
      <c r="DX41" s="202">
        <f t="shared" si="73"/>
        <v>0</v>
      </c>
      <c r="DY41" s="202">
        <f t="shared" si="73"/>
        <v>0</v>
      </c>
      <c r="DZ41" s="202">
        <f t="shared" si="73"/>
        <v>0</v>
      </c>
      <c r="EA41" s="202">
        <f t="shared" si="73"/>
        <v>0</v>
      </c>
      <c r="EB41" s="202">
        <f t="shared" si="73"/>
        <v>0</v>
      </c>
      <c r="EC41" s="202">
        <f t="shared" si="73"/>
        <v>0</v>
      </c>
      <c r="ED41" s="202">
        <f t="shared" si="73"/>
        <v>0</v>
      </c>
      <c r="EE41" s="202">
        <f t="shared" si="73"/>
        <v>0</v>
      </c>
      <c r="EF41" s="202">
        <f t="shared" si="73"/>
        <v>0</v>
      </c>
      <c r="EG41" s="202">
        <f t="shared" si="73"/>
        <v>0</v>
      </c>
      <c r="EH41" s="202">
        <f t="shared" si="73"/>
        <v>0</v>
      </c>
      <c r="EI41" s="202">
        <f t="shared" si="73"/>
        <v>0</v>
      </c>
      <c r="EJ41" s="202">
        <f t="shared" si="73"/>
        <v>0</v>
      </c>
      <c r="EK41" s="202">
        <f t="shared" si="72"/>
        <v>0</v>
      </c>
      <c r="EL41" s="202">
        <f t="shared" si="71"/>
        <v>0</v>
      </c>
      <c r="EM41" s="202">
        <f t="shared" si="71"/>
        <v>0</v>
      </c>
      <c r="EN41" s="202">
        <f t="shared" si="71"/>
        <v>0</v>
      </c>
      <c r="EO41" s="202">
        <f t="shared" si="71"/>
        <v>0</v>
      </c>
      <c r="EP41" s="202">
        <f t="shared" si="71"/>
        <v>0</v>
      </c>
      <c r="EQ41" s="202">
        <f t="shared" si="71"/>
        <v>0</v>
      </c>
      <c r="ER41" s="202">
        <f t="shared" si="71"/>
        <v>0</v>
      </c>
      <c r="ES41" s="202">
        <f t="shared" si="71"/>
        <v>0</v>
      </c>
      <c r="ET41" s="202">
        <f t="shared" si="71"/>
        <v>0</v>
      </c>
      <c r="EU41" s="202">
        <f t="shared" si="71"/>
        <v>0</v>
      </c>
      <c r="EV41" s="202">
        <f t="shared" si="71"/>
        <v>0</v>
      </c>
      <c r="EW41" s="202">
        <f t="shared" si="71"/>
        <v>0</v>
      </c>
      <c r="EX41" s="202">
        <f t="shared" si="71"/>
        <v>0</v>
      </c>
      <c r="EY41" s="202">
        <f t="shared" si="71"/>
        <v>0</v>
      </c>
      <c r="EZ41" s="202">
        <f t="shared" si="71"/>
        <v>0</v>
      </c>
      <c r="FA41" s="202">
        <f t="shared" si="71"/>
        <v>0</v>
      </c>
      <c r="FB41" s="202">
        <f t="shared" si="71"/>
        <v>0</v>
      </c>
      <c r="FC41" s="202">
        <f t="shared" si="71"/>
        <v>0</v>
      </c>
      <c r="FD41" s="202">
        <f t="shared" si="71"/>
        <v>0</v>
      </c>
      <c r="FE41" s="202">
        <f t="shared" si="71"/>
        <v>0</v>
      </c>
      <c r="FF41" s="202">
        <f t="shared" si="71"/>
        <v>0</v>
      </c>
      <c r="FG41" s="202">
        <f t="shared" si="71"/>
        <v>0</v>
      </c>
      <c r="FH41" s="202">
        <f t="shared" si="71"/>
        <v>0</v>
      </c>
      <c r="FI41" s="202">
        <f t="shared" si="71"/>
        <v>0</v>
      </c>
      <c r="FJ41" s="202">
        <f t="shared" si="71"/>
        <v>0</v>
      </c>
      <c r="FK41" s="202">
        <f t="shared" si="71"/>
        <v>0</v>
      </c>
      <c r="FL41" s="202">
        <f t="shared" si="71"/>
        <v>0</v>
      </c>
      <c r="FM41" s="202">
        <f>SUM(טבלה15[[#This Row],[1]:[156]])</f>
        <v>0</v>
      </c>
      <c r="FN41" s="447">
        <f>CEILING(טבלה15[[#This Row],[סה"כ]],16)/16</f>
        <v>0</v>
      </c>
      <c r="FO41" s="220" t="str">
        <f>טבלה15[[#This Row],[מוצר]]</f>
        <v>גבינה מותכת משולשים</v>
      </c>
      <c r="FP41" s="220"/>
    </row>
    <row r="42" spans="1:172" ht="16.5" customHeight="1">
      <c r="A42" s="203" t="s">
        <v>679</v>
      </c>
      <c r="B42" s="203">
        <v>8</v>
      </c>
      <c r="C42" s="203">
        <v>8455</v>
      </c>
      <c r="D42" s="427" t="e">
        <f>SUMIF([2]!טבלה6[קוד מוצר],C42,[2]!טבלה6[מחיר לקוח])</f>
        <v>#REF!</v>
      </c>
      <c r="E42" s="203">
        <v>1</v>
      </c>
      <c r="F42" s="458" t="e">
        <f t="shared" si="67"/>
        <v>#REF!</v>
      </c>
      <c r="G42" s="461">
        <v>0.17</v>
      </c>
      <c r="H42" s="458" t="e">
        <f>'בוקר צהרים קיטים '!$F42*'בוקר צהרים קיטים '!$G42</f>
        <v>#REF!</v>
      </c>
      <c r="I42" s="460" t="e">
        <f t="shared" si="60"/>
        <v>#REF!</v>
      </c>
      <c r="J42" s="440" t="s">
        <v>159</v>
      </c>
      <c r="K42" s="444" t="s">
        <v>709</v>
      </c>
      <c r="L42" s="449">
        <f>1/6</f>
        <v>0.16666666666666666</v>
      </c>
      <c r="M42" s="202">
        <f t="shared" si="68"/>
        <v>0</v>
      </c>
      <c r="N42" s="202">
        <f t="shared" si="69"/>
        <v>0</v>
      </c>
      <c r="O42" s="202">
        <f t="shared" si="69"/>
        <v>0</v>
      </c>
      <c r="P42" s="202">
        <f t="shared" si="69"/>
        <v>0</v>
      </c>
      <c r="Q42" s="202">
        <f t="shared" si="69"/>
        <v>0</v>
      </c>
      <c r="R42" s="202">
        <f t="shared" si="74"/>
        <v>0</v>
      </c>
      <c r="S42" s="202">
        <f t="shared" si="74"/>
        <v>0</v>
      </c>
      <c r="T42" s="202">
        <f t="shared" si="74"/>
        <v>0</v>
      </c>
      <c r="U42" s="202">
        <f t="shared" si="74"/>
        <v>0</v>
      </c>
      <c r="V42" s="202">
        <f t="shared" si="74"/>
        <v>0</v>
      </c>
      <c r="W42" s="202">
        <f t="shared" si="74"/>
        <v>0</v>
      </c>
      <c r="X42" s="202">
        <f t="shared" si="74"/>
        <v>0</v>
      </c>
      <c r="Y42" s="202">
        <f t="shared" si="74"/>
        <v>0</v>
      </c>
      <c r="Z42" s="202">
        <f t="shared" si="74"/>
        <v>0</v>
      </c>
      <c r="AA42" s="202">
        <f t="shared" si="74"/>
        <v>0</v>
      </c>
      <c r="AB42" s="202">
        <f t="shared" si="74"/>
        <v>0</v>
      </c>
      <c r="AC42" s="202">
        <f t="shared" si="74"/>
        <v>0</v>
      </c>
      <c r="AD42" s="202">
        <f t="shared" si="74"/>
        <v>0</v>
      </c>
      <c r="AE42" s="202">
        <f t="shared" si="74"/>
        <v>0</v>
      </c>
      <c r="AF42" s="202">
        <f t="shared" si="74"/>
        <v>0</v>
      </c>
      <c r="AG42" s="202">
        <f t="shared" si="74"/>
        <v>0</v>
      </c>
      <c r="AH42" s="202">
        <f t="shared" si="74"/>
        <v>0</v>
      </c>
      <c r="AI42" s="202">
        <f t="shared" si="74"/>
        <v>0</v>
      </c>
      <c r="AJ42" s="202">
        <f t="shared" si="74"/>
        <v>0</v>
      </c>
      <c r="AK42" s="202">
        <f t="shared" si="74"/>
        <v>0</v>
      </c>
      <c r="AL42" s="202">
        <f t="shared" si="74"/>
        <v>0</v>
      </c>
      <c r="AM42" s="202">
        <f t="shared" si="74"/>
        <v>0</v>
      </c>
      <c r="AN42" s="202">
        <f t="shared" si="74"/>
        <v>0</v>
      </c>
      <c r="AO42" s="202">
        <f t="shared" si="74"/>
        <v>0</v>
      </c>
      <c r="AP42" s="202">
        <f t="shared" si="74"/>
        <v>0</v>
      </c>
      <c r="AQ42" s="202">
        <f t="shared" si="74"/>
        <v>0</v>
      </c>
      <c r="AR42" s="202">
        <f t="shared" si="74"/>
        <v>0</v>
      </c>
      <c r="AS42" s="202">
        <f t="shared" si="74"/>
        <v>0</v>
      </c>
      <c r="AT42" s="202">
        <f t="shared" si="74"/>
        <v>0</v>
      </c>
      <c r="AU42" s="202">
        <f t="shared" si="74"/>
        <v>0</v>
      </c>
      <c r="AV42" s="202">
        <f t="shared" si="74"/>
        <v>0</v>
      </c>
      <c r="AW42" s="202">
        <f t="shared" si="74"/>
        <v>0</v>
      </c>
      <c r="AX42" s="202">
        <f t="shared" si="74"/>
        <v>0</v>
      </c>
      <c r="AY42" s="202">
        <f t="shared" si="74"/>
        <v>0</v>
      </c>
      <c r="AZ42" s="202">
        <f t="shared" si="63"/>
        <v>0</v>
      </c>
      <c r="BA42" s="202">
        <f t="shared" si="63"/>
        <v>0</v>
      </c>
      <c r="BB42" s="202">
        <f t="shared" si="64"/>
        <v>0</v>
      </c>
      <c r="BC42" s="202">
        <f t="shared" si="64"/>
        <v>0</v>
      </c>
      <c r="BD42" s="202">
        <f t="shared" si="64"/>
        <v>0</v>
      </c>
      <c r="BE42" s="202">
        <f t="shared" si="64"/>
        <v>0</v>
      </c>
      <c r="BF42" s="202">
        <f t="shared" si="64"/>
        <v>0</v>
      </c>
      <c r="BG42" s="202">
        <f t="shared" si="64"/>
        <v>0</v>
      </c>
      <c r="BH42" s="202">
        <f t="shared" si="64"/>
        <v>0</v>
      </c>
      <c r="BI42" s="202">
        <f t="shared" si="64"/>
        <v>0</v>
      </c>
      <c r="BJ42" s="202">
        <f t="shared" si="74"/>
        <v>0</v>
      </c>
      <c r="BK42" s="202">
        <f t="shared" si="74"/>
        <v>0</v>
      </c>
      <c r="BL42" s="202">
        <f t="shared" si="74"/>
        <v>0</v>
      </c>
      <c r="BM42" s="202">
        <f t="shared" si="74"/>
        <v>0</v>
      </c>
      <c r="BN42" s="202">
        <f t="shared" si="74"/>
        <v>0</v>
      </c>
      <c r="BO42" s="202">
        <f t="shared" si="74"/>
        <v>0</v>
      </c>
      <c r="BP42" s="202">
        <f t="shared" si="74"/>
        <v>0</v>
      </c>
      <c r="BQ42" s="202">
        <f t="shared" si="74"/>
        <v>0</v>
      </c>
      <c r="BR42" s="202">
        <f t="shared" si="74"/>
        <v>0</v>
      </c>
      <c r="BS42" s="202">
        <f t="shared" si="74"/>
        <v>0</v>
      </c>
      <c r="BT42" s="202">
        <f t="shared" si="74"/>
        <v>0</v>
      </c>
      <c r="BU42" s="202">
        <f t="shared" si="74"/>
        <v>0</v>
      </c>
      <c r="BV42" s="202">
        <f t="shared" si="74"/>
        <v>0</v>
      </c>
      <c r="BW42" s="202">
        <f t="shared" si="74"/>
        <v>0</v>
      </c>
      <c r="BX42" s="202">
        <f t="shared" si="74"/>
        <v>0</v>
      </c>
      <c r="BY42" s="202">
        <f t="shared" si="74"/>
        <v>0</v>
      </c>
      <c r="BZ42" s="202">
        <f t="shared" si="73"/>
        <v>0</v>
      </c>
      <c r="CA42" s="202">
        <f t="shared" si="73"/>
        <v>0</v>
      </c>
      <c r="CB42" s="202">
        <f t="shared" si="73"/>
        <v>0</v>
      </c>
      <c r="CC42" s="202">
        <f t="shared" si="73"/>
        <v>0</v>
      </c>
      <c r="CD42" s="202">
        <f t="shared" si="73"/>
        <v>0</v>
      </c>
      <c r="CE42" s="202">
        <f t="shared" si="73"/>
        <v>0</v>
      </c>
      <c r="CF42" s="202">
        <f t="shared" si="73"/>
        <v>0</v>
      </c>
      <c r="CG42" s="202">
        <f t="shared" si="73"/>
        <v>0</v>
      </c>
      <c r="CH42" s="202">
        <f t="shared" si="73"/>
        <v>0</v>
      </c>
      <c r="CI42" s="202">
        <f t="shared" si="73"/>
        <v>0</v>
      </c>
      <c r="CJ42" s="202">
        <f t="shared" si="73"/>
        <v>0</v>
      </c>
      <c r="CK42" s="202">
        <f t="shared" si="73"/>
        <v>0</v>
      </c>
      <c r="CL42" s="202">
        <f t="shared" si="73"/>
        <v>0</v>
      </c>
      <c r="CM42" s="202">
        <f t="shared" si="73"/>
        <v>0</v>
      </c>
      <c r="CN42" s="202">
        <f t="shared" si="73"/>
        <v>0</v>
      </c>
      <c r="CO42" s="202">
        <f t="shared" si="73"/>
        <v>0</v>
      </c>
      <c r="CP42" s="202">
        <f t="shared" si="73"/>
        <v>0</v>
      </c>
      <c r="CQ42" s="202">
        <f t="shared" si="73"/>
        <v>0</v>
      </c>
      <c r="CR42" s="202">
        <f t="shared" si="73"/>
        <v>0</v>
      </c>
      <c r="CS42" s="202">
        <f t="shared" si="73"/>
        <v>0</v>
      </c>
      <c r="CT42" s="202">
        <f t="shared" si="73"/>
        <v>0</v>
      </c>
      <c r="CU42" s="202">
        <f t="shared" si="73"/>
        <v>0</v>
      </c>
      <c r="CV42" s="202">
        <f t="shared" si="73"/>
        <v>0</v>
      </c>
      <c r="CW42" s="202">
        <f t="shared" si="73"/>
        <v>0</v>
      </c>
      <c r="CX42" s="202">
        <f t="shared" si="73"/>
        <v>0</v>
      </c>
      <c r="CY42" s="202">
        <f t="shared" si="73"/>
        <v>0</v>
      </c>
      <c r="CZ42" s="202">
        <f t="shared" si="73"/>
        <v>0</v>
      </c>
      <c r="DA42" s="202">
        <f t="shared" si="73"/>
        <v>0</v>
      </c>
      <c r="DB42" s="202">
        <f t="shared" si="73"/>
        <v>0</v>
      </c>
      <c r="DC42" s="202">
        <f t="shared" si="73"/>
        <v>0</v>
      </c>
      <c r="DD42" s="202">
        <f t="shared" si="73"/>
        <v>0</v>
      </c>
      <c r="DE42" s="202">
        <f t="shared" si="73"/>
        <v>0</v>
      </c>
      <c r="DF42" s="202">
        <f t="shared" si="73"/>
        <v>0</v>
      </c>
      <c r="DG42" s="202">
        <f t="shared" si="73"/>
        <v>0</v>
      </c>
      <c r="DH42" s="202">
        <f t="shared" si="73"/>
        <v>0</v>
      </c>
      <c r="DI42" s="202">
        <f t="shared" si="73"/>
        <v>0</v>
      </c>
      <c r="DJ42" s="202">
        <f t="shared" si="73"/>
        <v>0</v>
      </c>
      <c r="DK42" s="202">
        <f t="shared" si="73"/>
        <v>0</v>
      </c>
      <c r="DL42" s="202">
        <f t="shared" si="73"/>
        <v>0</v>
      </c>
      <c r="DM42" s="202">
        <f t="shared" si="73"/>
        <v>0</v>
      </c>
      <c r="DN42" s="202">
        <f t="shared" si="73"/>
        <v>0</v>
      </c>
      <c r="DO42" s="202">
        <f t="shared" si="73"/>
        <v>0</v>
      </c>
      <c r="DP42" s="202">
        <f t="shared" si="73"/>
        <v>0</v>
      </c>
      <c r="DQ42" s="202">
        <f t="shared" si="73"/>
        <v>0</v>
      </c>
      <c r="DR42" s="202">
        <f t="shared" si="73"/>
        <v>0</v>
      </c>
      <c r="DS42" s="202">
        <f t="shared" si="73"/>
        <v>0</v>
      </c>
      <c r="DT42" s="202">
        <f t="shared" si="73"/>
        <v>0</v>
      </c>
      <c r="DU42" s="202">
        <f t="shared" si="73"/>
        <v>0</v>
      </c>
      <c r="DV42" s="202">
        <f t="shared" si="73"/>
        <v>0</v>
      </c>
      <c r="DW42" s="202">
        <f t="shared" si="73"/>
        <v>0</v>
      </c>
      <c r="DX42" s="202">
        <f t="shared" si="73"/>
        <v>0</v>
      </c>
      <c r="DY42" s="202">
        <f t="shared" si="73"/>
        <v>0</v>
      </c>
      <c r="DZ42" s="202">
        <f t="shared" si="73"/>
        <v>0</v>
      </c>
      <c r="EA42" s="202">
        <f t="shared" si="73"/>
        <v>0</v>
      </c>
      <c r="EB42" s="202">
        <f t="shared" si="73"/>
        <v>0</v>
      </c>
      <c r="EC42" s="202">
        <f t="shared" si="73"/>
        <v>0</v>
      </c>
      <c r="ED42" s="202">
        <f t="shared" si="73"/>
        <v>0</v>
      </c>
      <c r="EE42" s="202">
        <f t="shared" si="73"/>
        <v>0</v>
      </c>
      <c r="EF42" s="202">
        <f t="shared" si="73"/>
        <v>0</v>
      </c>
      <c r="EG42" s="202">
        <f t="shared" si="73"/>
        <v>0</v>
      </c>
      <c r="EH42" s="202">
        <f t="shared" si="73"/>
        <v>0</v>
      </c>
      <c r="EI42" s="202">
        <f t="shared" si="73"/>
        <v>0</v>
      </c>
      <c r="EJ42" s="202">
        <f t="shared" si="73"/>
        <v>0</v>
      </c>
      <c r="EK42" s="202">
        <f t="shared" si="72"/>
        <v>0</v>
      </c>
      <c r="EL42" s="202">
        <f t="shared" si="71"/>
        <v>0</v>
      </c>
      <c r="EM42" s="202">
        <f t="shared" si="71"/>
        <v>0</v>
      </c>
      <c r="EN42" s="202">
        <f t="shared" si="71"/>
        <v>0</v>
      </c>
      <c r="EO42" s="202">
        <f t="shared" si="71"/>
        <v>0</v>
      </c>
      <c r="EP42" s="202">
        <f t="shared" si="71"/>
        <v>0</v>
      </c>
      <c r="EQ42" s="202">
        <f t="shared" si="71"/>
        <v>0</v>
      </c>
      <c r="ER42" s="202">
        <f t="shared" si="71"/>
        <v>0</v>
      </c>
      <c r="ES42" s="202">
        <f t="shared" si="71"/>
        <v>0</v>
      </c>
      <c r="ET42" s="202">
        <f t="shared" si="71"/>
        <v>0</v>
      </c>
      <c r="EU42" s="202">
        <f t="shared" si="71"/>
        <v>0</v>
      </c>
      <c r="EV42" s="202">
        <f t="shared" si="71"/>
        <v>0</v>
      </c>
      <c r="EW42" s="202">
        <f t="shared" si="71"/>
        <v>0</v>
      </c>
      <c r="EX42" s="202">
        <f t="shared" si="71"/>
        <v>0</v>
      </c>
      <c r="EY42" s="202">
        <f t="shared" si="71"/>
        <v>0</v>
      </c>
      <c r="EZ42" s="202">
        <f t="shared" si="71"/>
        <v>0</v>
      </c>
      <c r="FA42" s="202">
        <f t="shared" si="71"/>
        <v>0</v>
      </c>
      <c r="FB42" s="202">
        <f t="shared" si="71"/>
        <v>0</v>
      </c>
      <c r="FC42" s="202">
        <f t="shared" si="71"/>
        <v>0</v>
      </c>
      <c r="FD42" s="202">
        <f t="shared" si="71"/>
        <v>0</v>
      </c>
      <c r="FE42" s="202">
        <f t="shared" si="71"/>
        <v>0</v>
      </c>
      <c r="FF42" s="202">
        <f t="shared" si="71"/>
        <v>0</v>
      </c>
      <c r="FG42" s="202">
        <f t="shared" si="71"/>
        <v>0</v>
      </c>
      <c r="FH42" s="202">
        <f t="shared" si="71"/>
        <v>0</v>
      </c>
      <c r="FI42" s="202">
        <f t="shared" si="71"/>
        <v>0</v>
      </c>
      <c r="FJ42" s="202">
        <f t="shared" si="71"/>
        <v>0</v>
      </c>
      <c r="FK42" s="202">
        <f t="shared" si="71"/>
        <v>0</v>
      </c>
      <c r="FL42" s="202">
        <f t="shared" si="71"/>
        <v>0</v>
      </c>
      <c r="FM42" s="202">
        <f>SUM(טבלה15[[#This Row],[1]:[156]])</f>
        <v>0</v>
      </c>
      <c r="FN42" s="447">
        <f>טבלה15[[#This Row],[סה"כ]]</f>
        <v>0</v>
      </c>
      <c r="FO42" s="220" t="str">
        <f>טבלה15[[#This Row],[מוצר]]</f>
        <v xml:space="preserve">לחם פרוס </v>
      </c>
      <c r="FP42" s="220"/>
    </row>
    <row r="43" spans="1:172" ht="16.5" customHeight="1">
      <c r="A43" s="203" t="s">
        <v>679</v>
      </c>
      <c r="B43" s="203">
        <v>10</v>
      </c>
      <c r="C43" s="203">
        <v>248</v>
      </c>
      <c r="D43" s="427" t="e">
        <f>SUMIF([2]!טבלה6[קוד מוצר],C43,[2]!טבלה6[מחיר לקוח])</f>
        <v>#REF!</v>
      </c>
      <c r="E43" s="203">
        <v>1</v>
      </c>
      <c r="F43" s="458" t="e">
        <f t="shared" si="67"/>
        <v>#REF!</v>
      </c>
      <c r="G43" s="461">
        <v>0.17</v>
      </c>
      <c r="H43" s="458" t="e">
        <f>'בוקר צהרים קיטים '!$F43*'בוקר צהרים קיטים '!$G43</f>
        <v>#REF!</v>
      </c>
      <c r="I43" s="460" t="e">
        <f t="shared" si="60"/>
        <v>#REF!</v>
      </c>
      <c r="J43" s="440" t="s">
        <v>66</v>
      </c>
      <c r="K43" s="444" t="s">
        <v>700</v>
      </c>
      <c r="L43" s="449">
        <f>2/30</f>
        <v>6.6666666666666666E-2</v>
      </c>
      <c r="M43" s="202">
        <f t="shared" si="68"/>
        <v>0</v>
      </c>
      <c r="N43" s="202">
        <f t="shared" si="69"/>
        <v>0</v>
      </c>
      <c r="O43" s="202">
        <f t="shared" si="69"/>
        <v>0</v>
      </c>
      <c r="P43" s="202">
        <f t="shared" si="69"/>
        <v>0</v>
      </c>
      <c r="Q43" s="202">
        <f t="shared" si="69"/>
        <v>0</v>
      </c>
      <c r="R43" s="202">
        <f t="shared" si="74"/>
        <v>0</v>
      </c>
      <c r="S43" s="202">
        <f t="shared" si="74"/>
        <v>0</v>
      </c>
      <c r="T43" s="202">
        <f t="shared" si="74"/>
        <v>0</v>
      </c>
      <c r="U43" s="202">
        <f t="shared" si="74"/>
        <v>0</v>
      </c>
      <c r="V43" s="202">
        <f t="shared" si="74"/>
        <v>0</v>
      </c>
      <c r="W43" s="202">
        <f t="shared" si="74"/>
        <v>0</v>
      </c>
      <c r="X43" s="202">
        <f t="shared" si="74"/>
        <v>0</v>
      </c>
      <c r="Y43" s="202">
        <f t="shared" si="74"/>
        <v>0</v>
      </c>
      <c r="Z43" s="202">
        <f t="shared" si="74"/>
        <v>0</v>
      </c>
      <c r="AA43" s="202">
        <f t="shared" si="74"/>
        <v>0</v>
      </c>
      <c r="AB43" s="202">
        <f t="shared" si="74"/>
        <v>0</v>
      </c>
      <c r="AC43" s="202">
        <f t="shared" si="74"/>
        <v>0</v>
      </c>
      <c r="AD43" s="202">
        <f t="shared" si="74"/>
        <v>0</v>
      </c>
      <c r="AE43" s="202">
        <f t="shared" si="74"/>
        <v>0</v>
      </c>
      <c r="AF43" s="202">
        <f t="shared" si="74"/>
        <v>0</v>
      </c>
      <c r="AG43" s="202">
        <f t="shared" si="74"/>
        <v>0</v>
      </c>
      <c r="AH43" s="202">
        <f t="shared" si="74"/>
        <v>0</v>
      </c>
      <c r="AI43" s="202">
        <f t="shared" si="74"/>
        <v>0</v>
      </c>
      <c r="AJ43" s="202">
        <f t="shared" si="74"/>
        <v>0</v>
      </c>
      <c r="AK43" s="202">
        <f t="shared" si="74"/>
        <v>0</v>
      </c>
      <c r="AL43" s="202">
        <f t="shared" si="74"/>
        <v>0</v>
      </c>
      <c r="AM43" s="202">
        <f t="shared" si="74"/>
        <v>0</v>
      </c>
      <c r="AN43" s="202">
        <f t="shared" si="74"/>
        <v>0</v>
      </c>
      <c r="AO43" s="202">
        <f t="shared" si="74"/>
        <v>0</v>
      </c>
      <c r="AP43" s="202">
        <f t="shared" si="74"/>
        <v>0</v>
      </c>
      <c r="AQ43" s="202">
        <f t="shared" si="74"/>
        <v>0</v>
      </c>
      <c r="AR43" s="202">
        <f t="shared" si="74"/>
        <v>0</v>
      </c>
      <c r="AS43" s="202">
        <f t="shared" si="74"/>
        <v>0</v>
      </c>
      <c r="AT43" s="202">
        <f t="shared" si="74"/>
        <v>0</v>
      </c>
      <c r="AU43" s="202">
        <f t="shared" si="74"/>
        <v>0</v>
      </c>
      <c r="AV43" s="202">
        <f t="shared" si="74"/>
        <v>0</v>
      </c>
      <c r="AW43" s="202">
        <f t="shared" si="74"/>
        <v>0</v>
      </c>
      <c r="AX43" s="202">
        <f t="shared" si="74"/>
        <v>0</v>
      </c>
      <c r="AY43" s="202">
        <f t="shared" si="74"/>
        <v>0</v>
      </c>
      <c r="AZ43" s="202">
        <f t="shared" si="63"/>
        <v>0</v>
      </c>
      <c r="BA43" s="202">
        <f t="shared" si="63"/>
        <v>0</v>
      </c>
      <c r="BB43" s="202">
        <f t="shared" si="64"/>
        <v>0</v>
      </c>
      <c r="BC43" s="202">
        <f t="shared" si="64"/>
        <v>0</v>
      </c>
      <c r="BD43" s="202">
        <f t="shared" si="64"/>
        <v>0</v>
      </c>
      <c r="BE43" s="202">
        <f t="shared" si="64"/>
        <v>0</v>
      </c>
      <c r="BF43" s="202">
        <f t="shared" si="64"/>
        <v>0</v>
      </c>
      <c r="BG43" s="202">
        <f t="shared" si="64"/>
        <v>0</v>
      </c>
      <c r="BH43" s="202">
        <f t="shared" si="64"/>
        <v>0</v>
      </c>
      <c r="BI43" s="202">
        <f t="shared" si="64"/>
        <v>0</v>
      </c>
      <c r="BJ43" s="202">
        <f t="shared" si="74"/>
        <v>0</v>
      </c>
      <c r="BK43" s="202">
        <f t="shared" si="74"/>
        <v>0</v>
      </c>
      <c r="BL43" s="202">
        <f t="shared" si="74"/>
        <v>0</v>
      </c>
      <c r="BM43" s="202">
        <f t="shared" si="74"/>
        <v>0</v>
      </c>
      <c r="BN43" s="202">
        <f t="shared" si="74"/>
        <v>0</v>
      </c>
      <c r="BO43" s="202">
        <f t="shared" si="74"/>
        <v>0</v>
      </c>
      <c r="BP43" s="202">
        <f t="shared" si="74"/>
        <v>0</v>
      </c>
      <c r="BQ43" s="202">
        <f t="shared" si="74"/>
        <v>0</v>
      </c>
      <c r="BR43" s="202">
        <f t="shared" si="74"/>
        <v>0</v>
      </c>
      <c r="BS43" s="202">
        <f t="shared" si="74"/>
        <v>0</v>
      </c>
      <c r="BT43" s="202">
        <f t="shared" si="74"/>
        <v>0</v>
      </c>
      <c r="BU43" s="202">
        <f t="shared" si="74"/>
        <v>0</v>
      </c>
      <c r="BV43" s="202">
        <f t="shared" si="74"/>
        <v>0</v>
      </c>
      <c r="BW43" s="202">
        <f t="shared" si="74"/>
        <v>0</v>
      </c>
      <c r="BX43" s="202">
        <f t="shared" si="74"/>
        <v>0</v>
      </c>
      <c r="BY43" s="202">
        <f t="shared" si="74"/>
        <v>0</v>
      </c>
      <c r="BZ43" s="202">
        <f t="shared" si="73"/>
        <v>0</v>
      </c>
      <c r="CA43" s="202">
        <f t="shared" si="73"/>
        <v>0</v>
      </c>
      <c r="CB43" s="202">
        <f t="shared" si="73"/>
        <v>0</v>
      </c>
      <c r="CC43" s="202">
        <f t="shared" si="73"/>
        <v>0</v>
      </c>
      <c r="CD43" s="202">
        <f t="shared" si="73"/>
        <v>0</v>
      </c>
      <c r="CE43" s="202">
        <f t="shared" si="73"/>
        <v>0</v>
      </c>
      <c r="CF43" s="202">
        <f t="shared" si="73"/>
        <v>0</v>
      </c>
      <c r="CG43" s="202">
        <f t="shared" si="73"/>
        <v>0</v>
      </c>
      <c r="CH43" s="202">
        <f t="shared" si="73"/>
        <v>0</v>
      </c>
      <c r="CI43" s="202">
        <f t="shared" si="73"/>
        <v>0</v>
      </c>
      <c r="CJ43" s="202">
        <f t="shared" si="73"/>
        <v>0</v>
      </c>
      <c r="CK43" s="202">
        <f t="shared" si="73"/>
        <v>0</v>
      </c>
      <c r="CL43" s="202">
        <f t="shared" si="73"/>
        <v>0</v>
      </c>
      <c r="CM43" s="202">
        <f t="shared" si="73"/>
        <v>0</v>
      </c>
      <c r="CN43" s="202">
        <f t="shared" si="73"/>
        <v>0</v>
      </c>
      <c r="CO43" s="202">
        <f t="shared" si="73"/>
        <v>0</v>
      </c>
      <c r="CP43" s="202">
        <f t="shared" si="73"/>
        <v>0</v>
      </c>
      <c r="CQ43" s="202">
        <f t="shared" si="73"/>
        <v>0</v>
      </c>
      <c r="CR43" s="202">
        <f t="shared" si="73"/>
        <v>0</v>
      </c>
      <c r="CS43" s="202">
        <f t="shared" si="73"/>
        <v>0</v>
      </c>
      <c r="CT43" s="202">
        <f t="shared" si="73"/>
        <v>0</v>
      </c>
      <c r="CU43" s="202">
        <f t="shared" si="73"/>
        <v>0</v>
      </c>
      <c r="CV43" s="202">
        <f t="shared" si="73"/>
        <v>0</v>
      </c>
      <c r="CW43" s="202">
        <f t="shared" si="73"/>
        <v>0</v>
      </c>
      <c r="CX43" s="202">
        <f t="shared" si="73"/>
        <v>0</v>
      </c>
      <c r="CY43" s="202">
        <f t="shared" si="73"/>
        <v>0</v>
      </c>
      <c r="CZ43" s="202">
        <f t="shared" si="73"/>
        <v>0</v>
      </c>
      <c r="DA43" s="202">
        <f t="shared" si="73"/>
        <v>0</v>
      </c>
      <c r="DB43" s="202">
        <f t="shared" si="73"/>
        <v>0</v>
      </c>
      <c r="DC43" s="202">
        <f t="shared" si="73"/>
        <v>0</v>
      </c>
      <c r="DD43" s="202">
        <f t="shared" si="73"/>
        <v>0</v>
      </c>
      <c r="DE43" s="202">
        <f t="shared" si="73"/>
        <v>0</v>
      </c>
      <c r="DF43" s="202">
        <f t="shared" si="73"/>
        <v>0</v>
      </c>
      <c r="DG43" s="202">
        <f t="shared" si="73"/>
        <v>0</v>
      </c>
      <c r="DH43" s="202">
        <f t="shared" si="73"/>
        <v>0</v>
      </c>
      <c r="DI43" s="202">
        <f t="shared" si="73"/>
        <v>0</v>
      </c>
      <c r="DJ43" s="202">
        <f t="shared" si="73"/>
        <v>0</v>
      </c>
      <c r="DK43" s="202">
        <f t="shared" si="73"/>
        <v>0</v>
      </c>
      <c r="DL43" s="202">
        <f t="shared" si="73"/>
        <v>0</v>
      </c>
      <c r="DM43" s="202">
        <f t="shared" si="73"/>
        <v>0</v>
      </c>
      <c r="DN43" s="202">
        <f t="shared" si="73"/>
        <v>0</v>
      </c>
      <c r="DO43" s="202">
        <f t="shared" si="73"/>
        <v>0</v>
      </c>
      <c r="DP43" s="202">
        <f t="shared" si="73"/>
        <v>0</v>
      </c>
      <c r="DQ43" s="202">
        <f t="shared" si="73"/>
        <v>0</v>
      </c>
      <c r="DR43" s="202">
        <f t="shared" si="73"/>
        <v>0</v>
      </c>
      <c r="DS43" s="202">
        <f t="shared" si="73"/>
        <v>0</v>
      </c>
      <c r="DT43" s="202">
        <f t="shared" si="73"/>
        <v>0</v>
      </c>
      <c r="DU43" s="202">
        <f t="shared" si="73"/>
        <v>0</v>
      </c>
      <c r="DV43" s="202">
        <f t="shared" si="73"/>
        <v>0</v>
      </c>
      <c r="DW43" s="202">
        <f t="shared" si="73"/>
        <v>0</v>
      </c>
      <c r="DX43" s="202">
        <f t="shared" si="73"/>
        <v>0</v>
      </c>
      <c r="DY43" s="202">
        <f t="shared" si="73"/>
        <v>0</v>
      </c>
      <c r="DZ43" s="202">
        <f t="shared" si="73"/>
        <v>0</v>
      </c>
      <c r="EA43" s="202">
        <f t="shared" si="73"/>
        <v>0</v>
      </c>
      <c r="EB43" s="202">
        <f t="shared" si="73"/>
        <v>0</v>
      </c>
      <c r="EC43" s="202">
        <f t="shared" si="73"/>
        <v>0</v>
      </c>
      <c r="ED43" s="202">
        <f t="shared" si="73"/>
        <v>0</v>
      </c>
      <c r="EE43" s="202">
        <f t="shared" si="73"/>
        <v>0</v>
      </c>
      <c r="EF43" s="202">
        <f t="shared" si="73"/>
        <v>0</v>
      </c>
      <c r="EG43" s="202">
        <f t="shared" si="73"/>
        <v>0</v>
      </c>
      <c r="EH43" s="202">
        <f t="shared" si="73"/>
        <v>0</v>
      </c>
      <c r="EI43" s="202">
        <f t="shared" si="73"/>
        <v>0</v>
      </c>
      <c r="EJ43" s="202">
        <f t="shared" si="73"/>
        <v>0</v>
      </c>
      <c r="EK43" s="202">
        <f t="shared" si="72"/>
        <v>0</v>
      </c>
      <c r="EL43" s="202">
        <f t="shared" si="71"/>
        <v>0</v>
      </c>
      <c r="EM43" s="202">
        <f t="shared" si="71"/>
        <v>0</v>
      </c>
      <c r="EN43" s="202">
        <f t="shared" si="71"/>
        <v>0</v>
      </c>
      <c r="EO43" s="202">
        <f t="shared" si="71"/>
        <v>0</v>
      </c>
      <c r="EP43" s="202">
        <f t="shared" si="71"/>
        <v>0</v>
      </c>
      <c r="EQ43" s="202">
        <f t="shared" si="71"/>
        <v>0</v>
      </c>
      <c r="ER43" s="202">
        <f t="shared" si="71"/>
        <v>0</v>
      </c>
      <c r="ES43" s="202">
        <f t="shared" si="71"/>
        <v>0</v>
      </c>
      <c r="ET43" s="202">
        <f t="shared" si="71"/>
        <v>0</v>
      </c>
      <c r="EU43" s="202">
        <f t="shared" si="71"/>
        <v>0</v>
      </c>
      <c r="EV43" s="202">
        <f t="shared" si="71"/>
        <v>0</v>
      </c>
      <c r="EW43" s="202">
        <f t="shared" si="71"/>
        <v>0</v>
      </c>
      <c r="EX43" s="202">
        <f t="shared" si="71"/>
        <v>0</v>
      </c>
      <c r="EY43" s="202">
        <f t="shared" si="71"/>
        <v>0</v>
      </c>
      <c r="EZ43" s="202">
        <f t="shared" si="71"/>
        <v>0</v>
      </c>
      <c r="FA43" s="202">
        <f t="shared" si="71"/>
        <v>0</v>
      </c>
      <c r="FB43" s="202">
        <f t="shared" si="71"/>
        <v>0</v>
      </c>
      <c r="FC43" s="202">
        <f t="shared" si="71"/>
        <v>0</v>
      </c>
      <c r="FD43" s="202">
        <f t="shared" si="71"/>
        <v>0</v>
      </c>
      <c r="FE43" s="202">
        <f t="shared" si="71"/>
        <v>0</v>
      </c>
      <c r="FF43" s="202">
        <f t="shared" si="71"/>
        <v>0</v>
      </c>
      <c r="FG43" s="202">
        <f t="shared" si="71"/>
        <v>0</v>
      </c>
      <c r="FH43" s="202">
        <f t="shared" si="71"/>
        <v>0</v>
      </c>
      <c r="FI43" s="202">
        <f t="shared" si="71"/>
        <v>0</v>
      </c>
      <c r="FJ43" s="202">
        <f t="shared" si="71"/>
        <v>0</v>
      </c>
      <c r="FK43" s="202">
        <f t="shared" si="71"/>
        <v>0</v>
      </c>
      <c r="FL43" s="202">
        <f t="shared" si="71"/>
        <v>0</v>
      </c>
      <c r="FM43" s="202">
        <f>SUM(טבלה15[[#This Row],[1]:[156]])</f>
        <v>0</v>
      </c>
      <c r="FN43" s="447">
        <f>טבלה15[[#This Row],[סה"כ]]</f>
        <v>0</v>
      </c>
      <c r="FO43" s="220" t="str">
        <f>טבלה15[[#This Row],[מוצר]]</f>
        <v>וופלים</v>
      </c>
      <c r="FP43" s="220"/>
    </row>
    <row r="44" spans="1:172" ht="16.5" customHeight="1">
      <c r="A44" s="203" t="s">
        <v>679</v>
      </c>
      <c r="B44" s="203">
        <v>11</v>
      </c>
      <c r="C44" s="203">
        <v>607</v>
      </c>
      <c r="D44" s="427" t="e">
        <f>SUMIF([2]!טבלה6[קוד מוצר],C44,[2]!טבלה6[מחיר לקוח])</f>
        <v>#REF!</v>
      </c>
      <c r="E44" s="203">
        <v>1</v>
      </c>
      <c r="F44" s="458" t="e">
        <f>D44/E44/8</f>
        <v>#REF!</v>
      </c>
      <c r="G44" s="461">
        <v>0</v>
      </c>
      <c r="H44" s="458" t="e">
        <f>'בוקר צהרים קיטים '!$F44*'בוקר צהרים קיטים '!$G44</f>
        <v>#REF!</v>
      </c>
      <c r="I44" s="460" t="e">
        <f t="shared" si="60"/>
        <v>#REF!</v>
      </c>
      <c r="J44" s="440" t="s">
        <v>680</v>
      </c>
      <c r="K44" s="444" t="s">
        <v>681</v>
      </c>
      <c r="L44" s="445">
        <f>1/4</f>
        <v>0.25</v>
      </c>
      <c r="M44" s="446">
        <f t="shared" ref="M44:Q45" si="75">$L44*M$4</f>
        <v>0</v>
      </c>
      <c r="N44" s="446">
        <f t="shared" si="75"/>
        <v>0</v>
      </c>
      <c r="O44" s="446">
        <f>$L44*O$4</f>
        <v>0</v>
      </c>
      <c r="P44" s="446">
        <f t="shared" si="75"/>
        <v>0</v>
      </c>
      <c r="Q44" s="446">
        <f t="shared" si="75"/>
        <v>0</v>
      </c>
      <c r="R44" s="446">
        <f t="shared" ref="R44:BY45" si="76">$L44*R$4</f>
        <v>0</v>
      </c>
      <c r="S44" s="446">
        <f t="shared" si="76"/>
        <v>0</v>
      </c>
      <c r="T44" s="446">
        <f t="shared" si="76"/>
        <v>0</v>
      </c>
      <c r="U44" s="446">
        <f t="shared" si="76"/>
        <v>0</v>
      </c>
      <c r="V44" s="446">
        <f t="shared" si="76"/>
        <v>0</v>
      </c>
      <c r="W44" s="446">
        <f t="shared" si="76"/>
        <v>0</v>
      </c>
      <c r="X44" s="446">
        <f t="shared" si="76"/>
        <v>0</v>
      </c>
      <c r="Y44" s="446">
        <f t="shared" si="76"/>
        <v>0</v>
      </c>
      <c r="Z44" s="446">
        <f t="shared" si="76"/>
        <v>0</v>
      </c>
      <c r="AA44" s="446">
        <f t="shared" si="76"/>
        <v>0</v>
      </c>
      <c r="AB44" s="446">
        <f t="shared" si="76"/>
        <v>0</v>
      </c>
      <c r="AC44" s="446">
        <f t="shared" si="76"/>
        <v>0</v>
      </c>
      <c r="AD44" s="446">
        <f t="shared" si="76"/>
        <v>0</v>
      </c>
      <c r="AE44" s="446">
        <f t="shared" si="76"/>
        <v>0</v>
      </c>
      <c r="AF44" s="446">
        <f t="shared" si="76"/>
        <v>0</v>
      </c>
      <c r="AG44" s="446">
        <f t="shared" si="76"/>
        <v>0</v>
      </c>
      <c r="AH44" s="446">
        <f t="shared" si="76"/>
        <v>0</v>
      </c>
      <c r="AI44" s="446">
        <f t="shared" si="76"/>
        <v>0</v>
      </c>
      <c r="AJ44" s="446">
        <f t="shared" si="76"/>
        <v>0</v>
      </c>
      <c r="AK44" s="446">
        <f t="shared" si="76"/>
        <v>0</v>
      </c>
      <c r="AL44" s="446">
        <f t="shared" si="76"/>
        <v>0</v>
      </c>
      <c r="AM44" s="446">
        <f t="shared" si="76"/>
        <v>0</v>
      </c>
      <c r="AN44" s="446">
        <f t="shared" si="76"/>
        <v>0</v>
      </c>
      <c r="AO44" s="446">
        <f t="shared" si="76"/>
        <v>0</v>
      </c>
      <c r="AP44" s="446">
        <f t="shared" si="76"/>
        <v>0</v>
      </c>
      <c r="AQ44" s="446">
        <f t="shared" si="76"/>
        <v>0</v>
      </c>
      <c r="AR44" s="446">
        <f t="shared" si="76"/>
        <v>0</v>
      </c>
      <c r="AS44" s="446">
        <f t="shared" si="76"/>
        <v>0</v>
      </c>
      <c r="AT44" s="446">
        <f t="shared" si="76"/>
        <v>0</v>
      </c>
      <c r="AU44" s="446">
        <f t="shared" si="76"/>
        <v>0</v>
      </c>
      <c r="AV44" s="446">
        <f t="shared" si="76"/>
        <v>0</v>
      </c>
      <c r="AW44" s="446">
        <f t="shared" si="76"/>
        <v>0</v>
      </c>
      <c r="AX44" s="446">
        <f t="shared" si="76"/>
        <v>0</v>
      </c>
      <c r="AY44" s="446">
        <f t="shared" si="76"/>
        <v>0</v>
      </c>
      <c r="AZ44" s="446">
        <f t="shared" ref="AZ44:BA45" si="77">$L44*AZ$4</f>
        <v>0</v>
      </c>
      <c r="BA44" s="446">
        <f t="shared" si="77"/>
        <v>0</v>
      </c>
      <c r="BB44" s="446">
        <f t="shared" ref="BB44:BI45" si="78">$L44*BB$4</f>
        <v>0</v>
      </c>
      <c r="BC44" s="446">
        <f t="shared" si="78"/>
        <v>0</v>
      </c>
      <c r="BD44" s="446">
        <f t="shared" si="78"/>
        <v>0</v>
      </c>
      <c r="BE44" s="446">
        <f t="shared" si="78"/>
        <v>0</v>
      </c>
      <c r="BF44" s="446">
        <f t="shared" si="78"/>
        <v>0</v>
      </c>
      <c r="BG44" s="446">
        <f t="shared" si="78"/>
        <v>0</v>
      </c>
      <c r="BH44" s="446">
        <f t="shared" si="78"/>
        <v>0</v>
      </c>
      <c r="BI44" s="446">
        <f t="shared" si="78"/>
        <v>0</v>
      </c>
      <c r="BJ44" s="446">
        <f t="shared" si="76"/>
        <v>0</v>
      </c>
      <c r="BK44" s="446">
        <f t="shared" si="76"/>
        <v>0</v>
      </c>
      <c r="BL44" s="446">
        <f t="shared" si="76"/>
        <v>0</v>
      </c>
      <c r="BM44" s="446">
        <f t="shared" si="76"/>
        <v>0</v>
      </c>
      <c r="BN44" s="446">
        <f t="shared" si="76"/>
        <v>0</v>
      </c>
      <c r="BO44" s="446">
        <f t="shared" si="76"/>
        <v>0</v>
      </c>
      <c r="BP44" s="446">
        <f t="shared" si="76"/>
        <v>0</v>
      </c>
      <c r="BQ44" s="446">
        <f t="shared" si="76"/>
        <v>0</v>
      </c>
      <c r="BR44" s="446">
        <f t="shared" si="76"/>
        <v>0</v>
      </c>
      <c r="BS44" s="446">
        <f t="shared" si="76"/>
        <v>0</v>
      </c>
      <c r="BT44" s="446">
        <f t="shared" si="76"/>
        <v>0</v>
      </c>
      <c r="BU44" s="446">
        <f t="shared" si="76"/>
        <v>0</v>
      </c>
      <c r="BV44" s="446">
        <f t="shared" si="76"/>
        <v>0</v>
      </c>
      <c r="BW44" s="446">
        <f t="shared" si="76"/>
        <v>0</v>
      </c>
      <c r="BX44" s="446">
        <f t="shared" si="76"/>
        <v>0</v>
      </c>
      <c r="BY44" s="446">
        <f t="shared" si="76"/>
        <v>0</v>
      </c>
      <c r="BZ44" s="446">
        <f t="shared" ref="BZ44:EK45" si="79">$L44*BZ$4</f>
        <v>0</v>
      </c>
      <c r="CA44" s="446">
        <f t="shared" si="79"/>
        <v>0</v>
      </c>
      <c r="CB44" s="446">
        <f t="shared" si="79"/>
        <v>0</v>
      </c>
      <c r="CC44" s="446">
        <f t="shared" si="79"/>
        <v>0</v>
      </c>
      <c r="CD44" s="446">
        <f t="shared" si="79"/>
        <v>0</v>
      </c>
      <c r="CE44" s="446">
        <f t="shared" si="79"/>
        <v>0</v>
      </c>
      <c r="CF44" s="446">
        <f t="shared" si="79"/>
        <v>0</v>
      </c>
      <c r="CG44" s="446">
        <f t="shared" si="79"/>
        <v>0</v>
      </c>
      <c r="CH44" s="446">
        <f t="shared" si="79"/>
        <v>0</v>
      </c>
      <c r="CI44" s="446">
        <f t="shared" si="79"/>
        <v>0</v>
      </c>
      <c r="CJ44" s="446">
        <f t="shared" si="79"/>
        <v>0</v>
      </c>
      <c r="CK44" s="446">
        <f t="shared" si="79"/>
        <v>0</v>
      </c>
      <c r="CL44" s="446">
        <f t="shared" si="79"/>
        <v>0</v>
      </c>
      <c r="CM44" s="446">
        <f t="shared" si="79"/>
        <v>0</v>
      </c>
      <c r="CN44" s="446">
        <f t="shared" si="79"/>
        <v>0</v>
      </c>
      <c r="CO44" s="446">
        <f t="shared" si="79"/>
        <v>0</v>
      </c>
      <c r="CP44" s="446">
        <f t="shared" si="79"/>
        <v>0</v>
      </c>
      <c r="CQ44" s="446">
        <f t="shared" si="79"/>
        <v>0</v>
      </c>
      <c r="CR44" s="446">
        <f t="shared" si="79"/>
        <v>0</v>
      </c>
      <c r="CS44" s="446">
        <f t="shared" si="79"/>
        <v>0</v>
      </c>
      <c r="CT44" s="446">
        <f t="shared" si="79"/>
        <v>0</v>
      </c>
      <c r="CU44" s="446">
        <f t="shared" si="79"/>
        <v>0</v>
      </c>
      <c r="CV44" s="446">
        <f t="shared" si="79"/>
        <v>0</v>
      </c>
      <c r="CW44" s="446">
        <f t="shared" si="79"/>
        <v>0</v>
      </c>
      <c r="CX44" s="446">
        <f t="shared" si="79"/>
        <v>0</v>
      </c>
      <c r="CY44" s="446">
        <f t="shared" si="79"/>
        <v>0</v>
      </c>
      <c r="CZ44" s="446">
        <f t="shared" si="79"/>
        <v>0</v>
      </c>
      <c r="DA44" s="446">
        <f t="shared" si="79"/>
        <v>0</v>
      </c>
      <c r="DB44" s="446">
        <f t="shared" si="79"/>
        <v>0</v>
      </c>
      <c r="DC44" s="446">
        <f t="shared" si="79"/>
        <v>0</v>
      </c>
      <c r="DD44" s="446">
        <f t="shared" si="79"/>
        <v>0</v>
      </c>
      <c r="DE44" s="446">
        <f t="shared" si="79"/>
        <v>0</v>
      </c>
      <c r="DF44" s="446">
        <f t="shared" si="79"/>
        <v>0</v>
      </c>
      <c r="DG44" s="446">
        <f t="shared" si="79"/>
        <v>0</v>
      </c>
      <c r="DH44" s="446">
        <f t="shared" si="79"/>
        <v>0</v>
      </c>
      <c r="DI44" s="446">
        <f t="shared" si="79"/>
        <v>0</v>
      </c>
      <c r="DJ44" s="446">
        <f t="shared" si="79"/>
        <v>0</v>
      </c>
      <c r="DK44" s="446">
        <f t="shared" si="79"/>
        <v>0</v>
      </c>
      <c r="DL44" s="446">
        <f t="shared" si="79"/>
        <v>0</v>
      </c>
      <c r="DM44" s="446">
        <f t="shared" si="79"/>
        <v>0</v>
      </c>
      <c r="DN44" s="446">
        <f t="shared" si="79"/>
        <v>0</v>
      </c>
      <c r="DO44" s="446">
        <f t="shared" si="79"/>
        <v>0</v>
      </c>
      <c r="DP44" s="446">
        <f t="shared" si="79"/>
        <v>0</v>
      </c>
      <c r="DQ44" s="446">
        <f t="shared" si="79"/>
        <v>0</v>
      </c>
      <c r="DR44" s="446">
        <f t="shared" si="79"/>
        <v>0</v>
      </c>
      <c r="DS44" s="446">
        <f t="shared" si="79"/>
        <v>0</v>
      </c>
      <c r="DT44" s="446">
        <f t="shared" si="79"/>
        <v>0</v>
      </c>
      <c r="DU44" s="446">
        <f t="shared" si="79"/>
        <v>0</v>
      </c>
      <c r="DV44" s="446">
        <f t="shared" si="79"/>
        <v>0</v>
      </c>
      <c r="DW44" s="446">
        <f t="shared" si="79"/>
        <v>0</v>
      </c>
      <c r="DX44" s="446">
        <f t="shared" si="79"/>
        <v>0</v>
      </c>
      <c r="DY44" s="446">
        <f t="shared" si="79"/>
        <v>0</v>
      </c>
      <c r="DZ44" s="446">
        <f t="shared" si="79"/>
        <v>0</v>
      </c>
      <c r="EA44" s="446">
        <f t="shared" si="79"/>
        <v>0</v>
      </c>
      <c r="EB44" s="446">
        <f t="shared" si="79"/>
        <v>0</v>
      </c>
      <c r="EC44" s="446">
        <f t="shared" si="79"/>
        <v>0</v>
      </c>
      <c r="ED44" s="446">
        <f t="shared" si="79"/>
        <v>0</v>
      </c>
      <c r="EE44" s="446">
        <f t="shared" si="79"/>
        <v>0</v>
      </c>
      <c r="EF44" s="446">
        <f t="shared" si="79"/>
        <v>0</v>
      </c>
      <c r="EG44" s="446">
        <f t="shared" si="79"/>
        <v>0</v>
      </c>
      <c r="EH44" s="446">
        <f t="shared" si="79"/>
        <v>0</v>
      </c>
      <c r="EI44" s="446">
        <f t="shared" si="79"/>
        <v>0</v>
      </c>
      <c r="EJ44" s="446">
        <f t="shared" si="79"/>
        <v>0</v>
      </c>
      <c r="EK44" s="446">
        <f t="shared" si="79"/>
        <v>0</v>
      </c>
      <c r="EL44" s="446">
        <f t="shared" ref="EL44:FL45" si="80">$L44*EL$4</f>
        <v>0</v>
      </c>
      <c r="EM44" s="446">
        <f t="shared" si="80"/>
        <v>0</v>
      </c>
      <c r="EN44" s="446">
        <f t="shared" si="80"/>
        <v>0</v>
      </c>
      <c r="EO44" s="446">
        <f t="shared" si="80"/>
        <v>0</v>
      </c>
      <c r="EP44" s="446">
        <f t="shared" si="80"/>
        <v>0</v>
      </c>
      <c r="EQ44" s="446">
        <f t="shared" si="80"/>
        <v>0</v>
      </c>
      <c r="ER44" s="446">
        <f t="shared" si="80"/>
        <v>0</v>
      </c>
      <c r="ES44" s="446">
        <f t="shared" si="80"/>
        <v>0</v>
      </c>
      <c r="ET44" s="446">
        <f t="shared" si="80"/>
        <v>0</v>
      </c>
      <c r="EU44" s="446">
        <f t="shared" si="80"/>
        <v>0</v>
      </c>
      <c r="EV44" s="446">
        <f t="shared" si="80"/>
        <v>0</v>
      </c>
      <c r="EW44" s="446">
        <f t="shared" si="80"/>
        <v>0</v>
      </c>
      <c r="EX44" s="446">
        <f t="shared" si="80"/>
        <v>0</v>
      </c>
      <c r="EY44" s="446">
        <f t="shared" si="80"/>
        <v>0</v>
      </c>
      <c r="EZ44" s="446">
        <f t="shared" si="80"/>
        <v>0</v>
      </c>
      <c r="FA44" s="446">
        <f t="shared" si="80"/>
        <v>0</v>
      </c>
      <c r="FB44" s="446">
        <f t="shared" si="80"/>
        <v>0</v>
      </c>
      <c r="FC44" s="446">
        <f t="shared" si="80"/>
        <v>0</v>
      </c>
      <c r="FD44" s="446">
        <f t="shared" si="80"/>
        <v>0</v>
      </c>
      <c r="FE44" s="446">
        <f t="shared" si="80"/>
        <v>0</v>
      </c>
      <c r="FF44" s="446">
        <f t="shared" si="80"/>
        <v>0</v>
      </c>
      <c r="FG44" s="446">
        <f t="shared" si="80"/>
        <v>0</v>
      </c>
      <c r="FH44" s="446">
        <f t="shared" si="80"/>
        <v>0</v>
      </c>
      <c r="FI44" s="446">
        <f t="shared" si="80"/>
        <v>0</v>
      </c>
      <c r="FJ44" s="446">
        <f t="shared" si="80"/>
        <v>0</v>
      </c>
      <c r="FK44" s="446">
        <f t="shared" si="80"/>
        <v>0</v>
      </c>
      <c r="FL44" s="446">
        <f t="shared" si="80"/>
        <v>0</v>
      </c>
      <c r="FM44" s="547">
        <f>SUM(טבלה15[[#This Row],[1]:[156]])</f>
        <v>0</v>
      </c>
      <c r="FN44" s="447">
        <f>CEILING(טבלה15[[#This Row],[סה"כ]]/5+טבלה15[[#This Row],[סה"כ]]/5*טבלה15[[#This Row],[עמודה2]],1)</f>
        <v>0</v>
      </c>
      <c r="FO44" s="220" t="str">
        <f>טבלה15[[#This Row],[מוצר]]</f>
        <v>עגבניה יח'</v>
      </c>
      <c r="FP44" s="556">
        <v>0.1</v>
      </c>
    </row>
    <row r="45" spans="1:172" ht="16.5" customHeight="1">
      <c r="A45" s="203" t="s">
        <v>679</v>
      </c>
      <c r="B45" s="203">
        <v>12</v>
      </c>
      <c r="C45" s="203">
        <v>3</v>
      </c>
      <c r="D45" s="427" t="e">
        <f>SUMIF([2]!טבלה6[קוד מוצר],C45,[2]!טבלה6[מחיר לקוח])</f>
        <v>#REF!</v>
      </c>
      <c r="E45" s="203">
        <v>1</v>
      </c>
      <c r="F45" s="458" t="e">
        <f>D45/E45/7</f>
        <v>#REF!</v>
      </c>
      <c r="G45" s="461">
        <v>0</v>
      </c>
      <c r="H45" s="458" t="e">
        <f>'בוקר צהרים קיטים '!$F45*'בוקר צהרים קיטים '!$G45</f>
        <v>#REF!</v>
      </c>
      <c r="I45" s="460" t="e">
        <f t="shared" si="60"/>
        <v>#REF!</v>
      </c>
      <c r="J45" s="440" t="s">
        <v>682</v>
      </c>
      <c r="K45" s="444" t="s">
        <v>681</v>
      </c>
      <c r="L45" s="445">
        <f>1/4</f>
        <v>0.25</v>
      </c>
      <c r="M45" s="446">
        <f t="shared" si="75"/>
        <v>0</v>
      </c>
      <c r="N45" s="446">
        <f t="shared" si="75"/>
        <v>0</v>
      </c>
      <c r="O45" s="446">
        <f>$L45*O$4</f>
        <v>0</v>
      </c>
      <c r="P45" s="446">
        <f t="shared" si="75"/>
        <v>0</v>
      </c>
      <c r="Q45" s="446">
        <f t="shared" si="75"/>
        <v>0</v>
      </c>
      <c r="R45" s="446">
        <f t="shared" si="76"/>
        <v>0</v>
      </c>
      <c r="S45" s="446">
        <f t="shared" si="76"/>
        <v>0</v>
      </c>
      <c r="T45" s="446">
        <f t="shared" si="76"/>
        <v>0</v>
      </c>
      <c r="U45" s="446">
        <f t="shared" si="76"/>
        <v>0</v>
      </c>
      <c r="V45" s="446">
        <f t="shared" si="76"/>
        <v>0</v>
      </c>
      <c r="W45" s="446">
        <f t="shared" si="76"/>
        <v>0</v>
      </c>
      <c r="X45" s="446">
        <f t="shared" si="76"/>
        <v>0</v>
      </c>
      <c r="Y45" s="446">
        <f t="shared" si="76"/>
        <v>0</v>
      </c>
      <c r="Z45" s="446">
        <f t="shared" si="76"/>
        <v>0</v>
      </c>
      <c r="AA45" s="446">
        <f t="shared" si="76"/>
        <v>0</v>
      </c>
      <c r="AB45" s="446">
        <f t="shared" si="76"/>
        <v>0</v>
      </c>
      <c r="AC45" s="446">
        <f t="shared" si="76"/>
        <v>0</v>
      </c>
      <c r="AD45" s="446">
        <f t="shared" si="76"/>
        <v>0</v>
      </c>
      <c r="AE45" s="446">
        <f t="shared" si="76"/>
        <v>0</v>
      </c>
      <c r="AF45" s="446">
        <f t="shared" si="76"/>
        <v>0</v>
      </c>
      <c r="AG45" s="446">
        <f t="shared" si="76"/>
        <v>0</v>
      </c>
      <c r="AH45" s="446">
        <f t="shared" si="76"/>
        <v>0</v>
      </c>
      <c r="AI45" s="446">
        <f t="shared" si="76"/>
        <v>0</v>
      </c>
      <c r="AJ45" s="446">
        <f t="shared" si="76"/>
        <v>0</v>
      </c>
      <c r="AK45" s="446">
        <f t="shared" si="76"/>
        <v>0</v>
      </c>
      <c r="AL45" s="446">
        <f t="shared" si="76"/>
        <v>0</v>
      </c>
      <c r="AM45" s="446">
        <f t="shared" si="76"/>
        <v>0</v>
      </c>
      <c r="AN45" s="446">
        <f t="shared" si="76"/>
        <v>0</v>
      </c>
      <c r="AO45" s="446">
        <f t="shared" si="76"/>
        <v>0</v>
      </c>
      <c r="AP45" s="446">
        <f t="shared" si="76"/>
        <v>0</v>
      </c>
      <c r="AQ45" s="446">
        <f t="shared" si="76"/>
        <v>0</v>
      </c>
      <c r="AR45" s="446">
        <f t="shared" si="76"/>
        <v>0</v>
      </c>
      <c r="AS45" s="446">
        <f t="shared" si="76"/>
        <v>0</v>
      </c>
      <c r="AT45" s="446">
        <f t="shared" si="76"/>
        <v>0</v>
      </c>
      <c r="AU45" s="446">
        <f t="shared" si="76"/>
        <v>0</v>
      </c>
      <c r="AV45" s="446">
        <f t="shared" si="76"/>
        <v>0</v>
      </c>
      <c r="AW45" s="446">
        <f t="shared" si="76"/>
        <v>0</v>
      </c>
      <c r="AX45" s="446">
        <f t="shared" si="76"/>
        <v>0</v>
      </c>
      <c r="AY45" s="446">
        <f t="shared" si="76"/>
        <v>0</v>
      </c>
      <c r="AZ45" s="446">
        <f t="shared" si="77"/>
        <v>0</v>
      </c>
      <c r="BA45" s="446">
        <f t="shared" si="77"/>
        <v>0</v>
      </c>
      <c r="BB45" s="446">
        <f t="shared" si="78"/>
        <v>0</v>
      </c>
      <c r="BC45" s="446">
        <f t="shared" si="78"/>
        <v>0</v>
      </c>
      <c r="BD45" s="446">
        <f t="shared" si="78"/>
        <v>0</v>
      </c>
      <c r="BE45" s="446">
        <f t="shared" si="78"/>
        <v>0</v>
      </c>
      <c r="BF45" s="446">
        <f t="shared" si="78"/>
        <v>0</v>
      </c>
      <c r="BG45" s="446">
        <f t="shared" si="78"/>
        <v>0</v>
      </c>
      <c r="BH45" s="446">
        <f t="shared" si="78"/>
        <v>0</v>
      </c>
      <c r="BI45" s="446">
        <f t="shared" si="78"/>
        <v>0</v>
      </c>
      <c r="BJ45" s="446">
        <f t="shared" si="76"/>
        <v>0</v>
      </c>
      <c r="BK45" s="446">
        <f t="shared" si="76"/>
        <v>0</v>
      </c>
      <c r="BL45" s="446">
        <f t="shared" si="76"/>
        <v>0</v>
      </c>
      <c r="BM45" s="446">
        <f t="shared" si="76"/>
        <v>0</v>
      </c>
      <c r="BN45" s="446">
        <f t="shared" si="76"/>
        <v>0</v>
      </c>
      <c r="BO45" s="446">
        <f t="shared" si="76"/>
        <v>0</v>
      </c>
      <c r="BP45" s="446">
        <f t="shared" si="76"/>
        <v>0</v>
      </c>
      <c r="BQ45" s="446">
        <f t="shared" si="76"/>
        <v>0</v>
      </c>
      <c r="BR45" s="446">
        <f t="shared" si="76"/>
        <v>0</v>
      </c>
      <c r="BS45" s="446">
        <f t="shared" si="76"/>
        <v>0</v>
      </c>
      <c r="BT45" s="446">
        <f t="shared" si="76"/>
        <v>0</v>
      </c>
      <c r="BU45" s="446">
        <f t="shared" si="76"/>
        <v>0</v>
      </c>
      <c r="BV45" s="446">
        <f t="shared" si="76"/>
        <v>0</v>
      </c>
      <c r="BW45" s="446">
        <f t="shared" si="76"/>
        <v>0</v>
      </c>
      <c r="BX45" s="446">
        <f t="shared" si="76"/>
        <v>0</v>
      </c>
      <c r="BY45" s="446">
        <f t="shared" si="76"/>
        <v>0</v>
      </c>
      <c r="BZ45" s="446">
        <f t="shared" si="79"/>
        <v>0</v>
      </c>
      <c r="CA45" s="446">
        <f t="shared" si="79"/>
        <v>0</v>
      </c>
      <c r="CB45" s="446">
        <f t="shared" si="79"/>
        <v>0</v>
      </c>
      <c r="CC45" s="446">
        <f t="shared" si="79"/>
        <v>0</v>
      </c>
      <c r="CD45" s="446">
        <f t="shared" si="79"/>
        <v>0</v>
      </c>
      <c r="CE45" s="446">
        <f t="shared" si="79"/>
        <v>0</v>
      </c>
      <c r="CF45" s="446">
        <f t="shared" si="79"/>
        <v>0</v>
      </c>
      <c r="CG45" s="446">
        <f t="shared" si="79"/>
        <v>0</v>
      </c>
      <c r="CH45" s="446">
        <f t="shared" si="79"/>
        <v>0</v>
      </c>
      <c r="CI45" s="446">
        <f t="shared" si="79"/>
        <v>0</v>
      </c>
      <c r="CJ45" s="446">
        <f t="shared" si="79"/>
        <v>0</v>
      </c>
      <c r="CK45" s="446">
        <f t="shared" si="79"/>
        <v>0</v>
      </c>
      <c r="CL45" s="446">
        <f t="shared" si="79"/>
        <v>0</v>
      </c>
      <c r="CM45" s="446">
        <f t="shared" si="79"/>
        <v>0</v>
      </c>
      <c r="CN45" s="446">
        <f t="shared" si="79"/>
        <v>0</v>
      </c>
      <c r="CO45" s="446">
        <f t="shared" si="79"/>
        <v>0</v>
      </c>
      <c r="CP45" s="446">
        <f t="shared" si="79"/>
        <v>0</v>
      </c>
      <c r="CQ45" s="446">
        <f t="shared" si="79"/>
        <v>0</v>
      </c>
      <c r="CR45" s="446">
        <f t="shared" si="79"/>
        <v>0</v>
      </c>
      <c r="CS45" s="446">
        <f t="shared" si="79"/>
        <v>0</v>
      </c>
      <c r="CT45" s="446">
        <f t="shared" si="79"/>
        <v>0</v>
      </c>
      <c r="CU45" s="446">
        <f t="shared" si="79"/>
        <v>0</v>
      </c>
      <c r="CV45" s="446">
        <f t="shared" si="79"/>
        <v>0</v>
      </c>
      <c r="CW45" s="446">
        <f t="shared" si="79"/>
        <v>0</v>
      </c>
      <c r="CX45" s="446">
        <f t="shared" si="79"/>
        <v>0</v>
      </c>
      <c r="CY45" s="446">
        <f t="shared" si="79"/>
        <v>0</v>
      </c>
      <c r="CZ45" s="446">
        <f t="shared" si="79"/>
        <v>0</v>
      </c>
      <c r="DA45" s="446">
        <f t="shared" si="79"/>
        <v>0</v>
      </c>
      <c r="DB45" s="446">
        <f t="shared" si="79"/>
        <v>0</v>
      </c>
      <c r="DC45" s="446">
        <f t="shared" si="79"/>
        <v>0</v>
      </c>
      <c r="DD45" s="446">
        <f t="shared" si="79"/>
        <v>0</v>
      </c>
      <c r="DE45" s="446">
        <f t="shared" si="79"/>
        <v>0</v>
      </c>
      <c r="DF45" s="446">
        <f t="shared" si="79"/>
        <v>0</v>
      </c>
      <c r="DG45" s="446">
        <f t="shared" si="79"/>
        <v>0</v>
      </c>
      <c r="DH45" s="446">
        <f t="shared" si="79"/>
        <v>0</v>
      </c>
      <c r="DI45" s="446">
        <f t="shared" si="79"/>
        <v>0</v>
      </c>
      <c r="DJ45" s="446">
        <f t="shared" si="79"/>
        <v>0</v>
      </c>
      <c r="DK45" s="446">
        <f t="shared" si="79"/>
        <v>0</v>
      </c>
      <c r="DL45" s="446">
        <f t="shared" si="79"/>
        <v>0</v>
      </c>
      <c r="DM45" s="446">
        <f t="shared" si="79"/>
        <v>0</v>
      </c>
      <c r="DN45" s="446">
        <f t="shared" si="79"/>
        <v>0</v>
      </c>
      <c r="DO45" s="446">
        <f t="shared" si="79"/>
        <v>0</v>
      </c>
      <c r="DP45" s="446">
        <f t="shared" si="79"/>
        <v>0</v>
      </c>
      <c r="DQ45" s="446">
        <f t="shared" si="79"/>
        <v>0</v>
      </c>
      <c r="DR45" s="446">
        <f t="shared" si="79"/>
        <v>0</v>
      </c>
      <c r="DS45" s="446">
        <f t="shared" si="79"/>
        <v>0</v>
      </c>
      <c r="DT45" s="446">
        <f t="shared" si="79"/>
        <v>0</v>
      </c>
      <c r="DU45" s="446">
        <f t="shared" si="79"/>
        <v>0</v>
      </c>
      <c r="DV45" s="446">
        <f t="shared" si="79"/>
        <v>0</v>
      </c>
      <c r="DW45" s="446">
        <f t="shared" si="79"/>
        <v>0</v>
      </c>
      <c r="DX45" s="446">
        <f t="shared" si="79"/>
        <v>0</v>
      </c>
      <c r="DY45" s="446">
        <f t="shared" si="79"/>
        <v>0</v>
      </c>
      <c r="DZ45" s="446">
        <f t="shared" si="79"/>
        <v>0</v>
      </c>
      <c r="EA45" s="446">
        <f t="shared" si="79"/>
        <v>0</v>
      </c>
      <c r="EB45" s="446">
        <f t="shared" si="79"/>
        <v>0</v>
      </c>
      <c r="EC45" s="446">
        <f t="shared" si="79"/>
        <v>0</v>
      </c>
      <c r="ED45" s="446">
        <f t="shared" si="79"/>
        <v>0</v>
      </c>
      <c r="EE45" s="446">
        <f t="shared" si="79"/>
        <v>0</v>
      </c>
      <c r="EF45" s="446">
        <f t="shared" si="79"/>
        <v>0</v>
      </c>
      <c r="EG45" s="446">
        <f t="shared" si="79"/>
        <v>0</v>
      </c>
      <c r="EH45" s="446">
        <f t="shared" si="79"/>
        <v>0</v>
      </c>
      <c r="EI45" s="446">
        <f t="shared" si="79"/>
        <v>0</v>
      </c>
      <c r="EJ45" s="446">
        <f t="shared" si="79"/>
        <v>0</v>
      </c>
      <c r="EK45" s="446">
        <f t="shared" si="79"/>
        <v>0</v>
      </c>
      <c r="EL45" s="446">
        <f t="shared" si="80"/>
        <v>0</v>
      </c>
      <c r="EM45" s="446">
        <f t="shared" si="80"/>
        <v>0</v>
      </c>
      <c r="EN45" s="446">
        <f t="shared" si="80"/>
        <v>0</v>
      </c>
      <c r="EO45" s="446">
        <f t="shared" si="80"/>
        <v>0</v>
      </c>
      <c r="EP45" s="446">
        <f t="shared" si="80"/>
        <v>0</v>
      </c>
      <c r="EQ45" s="446">
        <f t="shared" si="80"/>
        <v>0</v>
      </c>
      <c r="ER45" s="446">
        <f t="shared" si="80"/>
        <v>0</v>
      </c>
      <c r="ES45" s="446">
        <f t="shared" si="80"/>
        <v>0</v>
      </c>
      <c r="ET45" s="446">
        <f t="shared" si="80"/>
        <v>0</v>
      </c>
      <c r="EU45" s="446">
        <f t="shared" si="80"/>
        <v>0</v>
      </c>
      <c r="EV45" s="446">
        <f t="shared" si="80"/>
        <v>0</v>
      </c>
      <c r="EW45" s="446">
        <f t="shared" si="80"/>
        <v>0</v>
      </c>
      <c r="EX45" s="446">
        <f t="shared" si="80"/>
        <v>0</v>
      </c>
      <c r="EY45" s="446">
        <f t="shared" si="80"/>
        <v>0</v>
      </c>
      <c r="EZ45" s="446">
        <f t="shared" si="80"/>
        <v>0</v>
      </c>
      <c r="FA45" s="446">
        <f t="shared" si="80"/>
        <v>0</v>
      </c>
      <c r="FB45" s="446">
        <f t="shared" si="80"/>
        <v>0</v>
      </c>
      <c r="FC45" s="446">
        <f t="shared" si="80"/>
        <v>0</v>
      </c>
      <c r="FD45" s="446">
        <f t="shared" si="80"/>
        <v>0</v>
      </c>
      <c r="FE45" s="446">
        <f t="shared" si="80"/>
        <v>0</v>
      </c>
      <c r="FF45" s="446">
        <f t="shared" si="80"/>
        <v>0</v>
      </c>
      <c r="FG45" s="446">
        <f t="shared" si="80"/>
        <v>0</v>
      </c>
      <c r="FH45" s="446">
        <f t="shared" si="80"/>
        <v>0</v>
      </c>
      <c r="FI45" s="446">
        <f t="shared" si="80"/>
        <v>0</v>
      </c>
      <c r="FJ45" s="446">
        <f t="shared" si="80"/>
        <v>0</v>
      </c>
      <c r="FK45" s="446">
        <f t="shared" si="80"/>
        <v>0</v>
      </c>
      <c r="FL45" s="446">
        <f t="shared" si="80"/>
        <v>0</v>
      </c>
      <c r="FM45" s="547">
        <f>SUM(טבלה15[[#This Row],[1]:[156]])</f>
        <v>0</v>
      </c>
      <c r="FN45" s="447">
        <f>CEILING(טבלה15[[#This Row],[סה"כ]]/7+טבלה15[[#This Row],[סה"כ]]/7*טבלה15[[#This Row],[עמודה2]],1)</f>
        <v>0</v>
      </c>
      <c r="FO45" s="220" t="str">
        <f>טבלה15[[#This Row],[מוצר]]</f>
        <v>מלפפון יח'</v>
      </c>
      <c r="FP45" s="556">
        <v>0.1</v>
      </c>
    </row>
    <row r="46" spans="1:172" ht="16.5" customHeight="1">
      <c r="A46" s="203" t="s">
        <v>683</v>
      </c>
      <c r="B46" s="203">
        <v>13</v>
      </c>
      <c r="C46" s="203"/>
      <c r="D46" s="427" t="e">
        <f>SUMIF([2]!טבלה6[קוד מוצר],C46,[2]!טבלה6[מחיר לקוח])</f>
        <v>#REF!</v>
      </c>
      <c r="E46" s="203">
        <v>120</v>
      </c>
      <c r="F46" s="458" t="e">
        <f t="shared" si="67"/>
        <v>#REF!</v>
      </c>
      <c r="G46" s="461">
        <v>0.17</v>
      </c>
      <c r="H46" s="458" t="e">
        <f>'בוקר צהרים קיטים '!$F46*'בוקר צהרים קיטים '!$G46</f>
        <v>#REF!</v>
      </c>
      <c r="I46" s="460" t="e">
        <f t="shared" si="60"/>
        <v>#REF!</v>
      </c>
      <c r="J46" s="440" t="s">
        <v>441</v>
      </c>
      <c r="K46" s="444" t="s">
        <v>711</v>
      </c>
      <c r="L46" s="440">
        <v>0</v>
      </c>
      <c r="M46" s="202">
        <f>ROUNDUP($L46*M$4,0)</f>
        <v>0</v>
      </c>
      <c r="N46" s="202">
        <f>ROUNDUP($L46*N$4,0)</f>
        <v>0</v>
      </c>
      <c r="O46" s="202">
        <f>ROUNDUP($L46*O$4,0)</f>
        <v>0</v>
      </c>
      <c r="P46" s="202">
        <f>ROUNDUP($L46*P$4,0)</f>
        <v>0</v>
      </c>
      <c r="Q46" s="202">
        <f>ROUNDUP($L46*Q$4,0)</f>
        <v>0</v>
      </c>
      <c r="R46" s="202">
        <f t="shared" ref="R46:BY46" si="81">ROUNDUP($L46*R$4,0)</f>
        <v>0</v>
      </c>
      <c r="S46" s="202">
        <f t="shared" si="81"/>
        <v>0</v>
      </c>
      <c r="T46" s="202">
        <f t="shared" si="81"/>
        <v>0</v>
      </c>
      <c r="U46" s="202">
        <f t="shared" si="81"/>
        <v>0</v>
      </c>
      <c r="V46" s="202">
        <f t="shared" si="81"/>
        <v>0</v>
      </c>
      <c r="W46" s="202">
        <f t="shared" si="81"/>
        <v>0</v>
      </c>
      <c r="X46" s="202">
        <f t="shared" si="81"/>
        <v>0</v>
      </c>
      <c r="Y46" s="202">
        <f t="shared" si="81"/>
        <v>0</v>
      </c>
      <c r="Z46" s="202">
        <f t="shared" si="81"/>
        <v>0</v>
      </c>
      <c r="AA46" s="202">
        <f t="shared" si="81"/>
        <v>0</v>
      </c>
      <c r="AB46" s="202">
        <f t="shared" si="81"/>
        <v>0</v>
      </c>
      <c r="AC46" s="202">
        <f t="shared" si="81"/>
        <v>0</v>
      </c>
      <c r="AD46" s="202">
        <f t="shared" si="81"/>
        <v>0</v>
      </c>
      <c r="AE46" s="202">
        <f t="shared" si="81"/>
        <v>0</v>
      </c>
      <c r="AF46" s="202">
        <f t="shared" si="81"/>
        <v>0</v>
      </c>
      <c r="AG46" s="202">
        <f t="shared" si="81"/>
        <v>0</v>
      </c>
      <c r="AH46" s="202">
        <f t="shared" si="81"/>
        <v>0</v>
      </c>
      <c r="AI46" s="202">
        <f t="shared" si="81"/>
        <v>0</v>
      </c>
      <c r="AJ46" s="202">
        <f t="shared" si="81"/>
        <v>0</v>
      </c>
      <c r="AK46" s="202">
        <f t="shared" si="81"/>
        <v>0</v>
      </c>
      <c r="AL46" s="202">
        <f t="shared" si="81"/>
        <v>0</v>
      </c>
      <c r="AM46" s="202">
        <f t="shared" si="81"/>
        <v>0</v>
      </c>
      <c r="AN46" s="202">
        <f t="shared" si="81"/>
        <v>0</v>
      </c>
      <c r="AO46" s="202">
        <f t="shared" si="81"/>
        <v>0</v>
      </c>
      <c r="AP46" s="202">
        <f t="shared" si="81"/>
        <v>0</v>
      </c>
      <c r="AQ46" s="202">
        <f t="shared" si="81"/>
        <v>0</v>
      </c>
      <c r="AR46" s="202">
        <f t="shared" si="81"/>
        <v>0</v>
      </c>
      <c r="AS46" s="202">
        <f t="shared" si="81"/>
        <v>0</v>
      </c>
      <c r="AT46" s="202">
        <f t="shared" si="81"/>
        <v>0</v>
      </c>
      <c r="AU46" s="202">
        <f t="shared" si="81"/>
        <v>0</v>
      </c>
      <c r="AV46" s="202">
        <f t="shared" si="81"/>
        <v>0</v>
      </c>
      <c r="AW46" s="202">
        <f t="shared" si="81"/>
        <v>0</v>
      </c>
      <c r="AX46" s="202">
        <f t="shared" si="81"/>
        <v>0</v>
      </c>
      <c r="AY46" s="202">
        <f t="shared" si="81"/>
        <v>0</v>
      </c>
      <c r="AZ46" s="202">
        <f t="shared" ref="AZ46:BA46" si="82">ROUNDUP($L46*AZ$4,0)</f>
        <v>0</v>
      </c>
      <c r="BA46" s="202">
        <f t="shared" si="82"/>
        <v>0</v>
      </c>
      <c r="BB46" s="202">
        <f t="shared" ref="BB46:BI46" si="83">ROUNDUP($L46*BB$4,0)</f>
        <v>0</v>
      </c>
      <c r="BC46" s="202">
        <f t="shared" si="83"/>
        <v>0</v>
      </c>
      <c r="BD46" s="202">
        <f t="shared" si="83"/>
        <v>0</v>
      </c>
      <c r="BE46" s="202">
        <f t="shared" si="83"/>
        <v>0</v>
      </c>
      <c r="BF46" s="202">
        <f t="shared" si="83"/>
        <v>0</v>
      </c>
      <c r="BG46" s="202">
        <f t="shared" si="83"/>
        <v>0</v>
      </c>
      <c r="BH46" s="202">
        <f t="shared" si="83"/>
        <v>0</v>
      </c>
      <c r="BI46" s="202">
        <f t="shared" si="83"/>
        <v>0</v>
      </c>
      <c r="BJ46" s="202">
        <f t="shared" si="81"/>
        <v>0</v>
      </c>
      <c r="BK46" s="202">
        <f t="shared" si="81"/>
        <v>0</v>
      </c>
      <c r="BL46" s="202">
        <f t="shared" si="81"/>
        <v>0</v>
      </c>
      <c r="BM46" s="202">
        <f t="shared" si="81"/>
        <v>0</v>
      </c>
      <c r="BN46" s="202">
        <f t="shared" si="81"/>
        <v>0</v>
      </c>
      <c r="BO46" s="202">
        <f t="shared" si="81"/>
        <v>0</v>
      </c>
      <c r="BP46" s="202">
        <f t="shared" si="81"/>
        <v>0</v>
      </c>
      <c r="BQ46" s="202">
        <f t="shared" si="81"/>
        <v>0</v>
      </c>
      <c r="BR46" s="202">
        <f t="shared" si="81"/>
        <v>0</v>
      </c>
      <c r="BS46" s="202">
        <f t="shared" si="81"/>
        <v>0</v>
      </c>
      <c r="BT46" s="202">
        <f t="shared" si="81"/>
        <v>0</v>
      </c>
      <c r="BU46" s="202">
        <f t="shared" si="81"/>
        <v>0</v>
      </c>
      <c r="BV46" s="202">
        <f t="shared" si="81"/>
        <v>0</v>
      </c>
      <c r="BW46" s="202">
        <f t="shared" si="81"/>
        <v>0</v>
      </c>
      <c r="BX46" s="202">
        <f t="shared" si="81"/>
        <v>0</v>
      </c>
      <c r="BY46" s="202">
        <f t="shared" si="81"/>
        <v>0</v>
      </c>
      <c r="BZ46" s="202">
        <f t="shared" ref="BZ46:EK46" si="84">ROUNDUP($L46*BZ$4,0)</f>
        <v>0</v>
      </c>
      <c r="CA46" s="202">
        <f t="shared" si="84"/>
        <v>0</v>
      </c>
      <c r="CB46" s="202">
        <f t="shared" si="84"/>
        <v>0</v>
      </c>
      <c r="CC46" s="202">
        <f t="shared" si="84"/>
        <v>0</v>
      </c>
      <c r="CD46" s="202">
        <f t="shared" si="84"/>
        <v>0</v>
      </c>
      <c r="CE46" s="202">
        <f t="shared" si="84"/>
        <v>0</v>
      </c>
      <c r="CF46" s="202">
        <f t="shared" si="84"/>
        <v>0</v>
      </c>
      <c r="CG46" s="202">
        <f t="shared" si="84"/>
        <v>0</v>
      </c>
      <c r="CH46" s="202">
        <f t="shared" si="84"/>
        <v>0</v>
      </c>
      <c r="CI46" s="202">
        <f t="shared" si="84"/>
        <v>0</v>
      </c>
      <c r="CJ46" s="202">
        <f t="shared" si="84"/>
        <v>0</v>
      </c>
      <c r="CK46" s="202">
        <f t="shared" si="84"/>
        <v>0</v>
      </c>
      <c r="CL46" s="202">
        <f t="shared" si="84"/>
        <v>0</v>
      </c>
      <c r="CM46" s="202">
        <f t="shared" si="84"/>
        <v>0</v>
      </c>
      <c r="CN46" s="202">
        <f t="shared" si="84"/>
        <v>0</v>
      </c>
      <c r="CO46" s="202">
        <f t="shared" si="84"/>
        <v>0</v>
      </c>
      <c r="CP46" s="202">
        <f t="shared" si="84"/>
        <v>0</v>
      </c>
      <c r="CQ46" s="202">
        <f t="shared" si="84"/>
        <v>0</v>
      </c>
      <c r="CR46" s="202">
        <f t="shared" si="84"/>
        <v>0</v>
      </c>
      <c r="CS46" s="202">
        <f t="shared" si="84"/>
        <v>0</v>
      </c>
      <c r="CT46" s="202">
        <f t="shared" si="84"/>
        <v>0</v>
      </c>
      <c r="CU46" s="202">
        <f t="shared" si="84"/>
        <v>0</v>
      </c>
      <c r="CV46" s="202">
        <f t="shared" si="84"/>
        <v>0</v>
      </c>
      <c r="CW46" s="202">
        <f t="shared" si="84"/>
        <v>0</v>
      </c>
      <c r="CX46" s="202">
        <f t="shared" si="84"/>
        <v>0</v>
      </c>
      <c r="CY46" s="202">
        <f t="shared" si="84"/>
        <v>0</v>
      </c>
      <c r="CZ46" s="202">
        <f t="shared" si="84"/>
        <v>0</v>
      </c>
      <c r="DA46" s="202">
        <f t="shared" si="84"/>
        <v>0</v>
      </c>
      <c r="DB46" s="202">
        <f t="shared" si="84"/>
        <v>0</v>
      </c>
      <c r="DC46" s="202">
        <f t="shared" si="84"/>
        <v>0</v>
      </c>
      <c r="DD46" s="202">
        <f t="shared" si="84"/>
        <v>0</v>
      </c>
      <c r="DE46" s="202">
        <f t="shared" si="84"/>
        <v>0</v>
      </c>
      <c r="DF46" s="202">
        <f t="shared" si="84"/>
        <v>0</v>
      </c>
      <c r="DG46" s="202">
        <f t="shared" si="84"/>
        <v>0</v>
      </c>
      <c r="DH46" s="202">
        <f t="shared" si="84"/>
        <v>0</v>
      </c>
      <c r="DI46" s="202">
        <f t="shared" si="84"/>
        <v>0</v>
      </c>
      <c r="DJ46" s="202">
        <f t="shared" si="84"/>
        <v>0</v>
      </c>
      <c r="DK46" s="202">
        <f t="shared" si="84"/>
        <v>0</v>
      </c>
      <c r="DL46" s="202">
        <f t="shared" si="84"/>
        <v>0</v>
      </c>
      <c r="DM46" s="202">
        <f t="shared" si="84"/>
        <v>0</v>
      </c>
      <c r="DN46" s="202">
        <f t="shared" si="84"/>
        <v>0</v>
      </c>
      <c r="DO46" s="202">
        <f t="shared" si="84"/>
        <v>0</v>
      </c>
      <c r="DP46" s="202">
        <f t="shared" si="84"/>
        <v>0</v>
      </c>
      <c r="DQ46" s="202">
        <f t="shared" si="84"/>
        <v>0</v>
      </c>
      <c r="DR46" s="202">
        <f t="shared" si="84"/>
        <v>0</v>
      </c>
      <c r="DS46" s="202">
        <f t="shared" si="84"/>
        <v>0</v>
      </c>
      <c r="DT46" s="202">
        <f t="shared" si="84"/>
        <v>0</v>
      </c>
      <c r="DU46" s="202">
        <f t="shared" si="84"/>
        <v>0</v>
      </c>
      <c r="DV46" s="202">
        <f t="shared" si="84"/>
        <v>0</v>
      </c>
      <c r="DW46" s="202">
        <f t="shared" si="84"/>
        <v>0</v>
      </c>
      <c r="DX46" s="202">
        <f t="shared" si="84"/>
        <v>0</v>
      </c>
      <c r="DY46" s="202">
        <f t="shared" si="84"/>
        <v>0</v>
      </c>
      <c r="DZ46" s="202">
        <f t="shared" si="84"/>
        <v>0</v>
      </c>
      <c r="EA46" s="202">
        <f t="shared" si="84"/>
        <v>0</v>
      </c>
      <c r="EB46" s="202">
        <f t="shared" si="84"/>
        <v>0</v>
      </c>
      <c r="EC46" s="202">
        <f t="shared" si="84"/>
        <v>0</v>
      </c>
      <c r="ED46" s="202">
        <f t="shared" si="84"/>
        <v>0</v>
      </c>
      <c r="EE46" s="202">
        <f t="shared" si="84"/>
        <v>0</v>
      </c>
      <c r="EF46" s="202">
        <f t="shared" si="84"/>
        <v>0</v>
      </c>
      <c r="EG46" s="202">
        <f t="shared" si="84"/>
        <v>0</v>
      </c>
      <c r="EH46" s="202">
        <f t="shared" si="84"/>
        <v>0</v>
      </c>
      <c r="EI46" s="202">
        <f t="shared" si="84"/>
        <v>0</v>
      </c>
      <c r="EJ46" s="202">
        <f t="shared" si="84"/>
        <v>0</v>
      </c>
      <c r="EK46" s="202">
        <f t="shared" si="84"/>
        <v>0</v>
      </c>
      <c r="EL46" s="202">
        <f t="shared" ref="EL46:FL46" si="85">ROUNDUP($L46*EL$4,0)</f>
        <v>0</v>
      </c>
      <c r="EM46" s="202">
        <f t="shared" si="85"/>
        <v>0</v>
      </c>
      <c r="EN46" s="202">
        <f t="shared" si="85"/>
        <v>0</v>
      </c>
      <c r="EO46" s="202">
        <f t="shared" si="85"/>
        <v>0</v>
      </c>
      <c r="EP46" s="202">
        <f t="shared" si="85"/>
        <v>0</v>
      </c>
      <c r="EQ46" s="202">
        <f t="shared" si="85"/>
        <v>0</v>
      </c>
      <c r="ER46" s="202">
        <f t="shared" si="85"/>
        <v>0</v>
      </c>
      <c r="ES46" s="202">
        <f t="shared" si="85"/>
        <v>0</v>
      </c>
      <c r="ET46" s="202">
        <f t="shared" si="85"/>
        <v>0</v>
      </c>
      <c r="EU46" s="202">
        <f t="shared" si="85"/>
        <v>0</v>
      </c>
      <c r="EV46" s="202">
        <f t="shared" si="85"/>
        <v>0</v>
      </c>
      <c r="EW46" s="202">
        <f t="shared" si="85"/>
        <v>0</v>
      </c>
      <c r="EX46" s="202">
        <f t="shared" si="85"/>
        <v>0</v>
      </c>
      <c r="EY46" s="202">
        <f t="shared" si="85"/>
        <v>0</v>
      </c>
      <c r="EZ46" s="202">
        <f t="shared" si="85"/>
        <v>0</v>
      </c>
      <c r="FA46" s="202">
        <f t="shared" si="85"/>
        <v>0</v>
      </c>
      <c r="FB46" s="202">
        <f t="shared" si="85"/>
        <v>0</v>
      </c>
      <c r="FC46" s="202">
        <f t="shared" si="85"/>
        <v>0</v>
      </c>
      <c r="FD46" s="202">
        <f t="shared" si="85"/>
        <v>0</v>
      </c>
      <c r="FE46" s="202">
        <f t="shared" si="85"/>
        <v>0</v>
      </c>
      <c r="FF46" s="202">
        <f t="shared" si="85"/>
        <v>0</v>
      </c>
      <c r="FG46" s="202">
        <f t="shared" si="85"/>
        <v>0</v>
      </c>
      <c r="FH46" s="202">
        <f t="shared" si="85"/>
        <v>0</v>
      </c>
      <c r="FI46" s="202">
        <f t="shared" si="85"/>
        <v>0</v>
      </c>
      <c r="FJ46" s="202">
        <f t="shared" si="85"/>
        <v>0</v>
      </c>
      <c r="FK46" s="202">
        <f t="shared" si="85"/>
        <v>0</v>
      </c>
      <c r="FL46" s="202">
        <f t="shared" si="85"/>
        <v>0</v>
      </c>
      <c r="FM46" s="202">
        <f>SUM(טבלה15[[#This Row],[1]:[156]])</f>
        <v>0</v>
      </c>
      <c r="FN46" s="447">
        <f>CEILING(טבלה15[[#This Row],[סה"כ]],120)/120</f>
        <v>0</v>
      </c>
      <c r="FO46" s="220" t="str">
        <f>טבלה15[[#This Row],[מוצר]]</f>
        <v>לימון אישי</v>
      </c>
      <c r="FP46" s="220"/>
    </row>
    <row r="47" spans="1:172" ht="16.5" customHeight="1">
      <c r="A47" s="203" t="s">
        <v>683</v>
      </c>
      <c r="B47" s="203">
        <v>16</v>
      </c>
      <c r="C47" s="440" t="s">
        <v>569</v>
      </c>
      <c r="D47" s="427" t="e">
        <f>SUMIF([2]!טבלה21[מקט],'בוקר צהרים קיטים '!$C47,[2]!טבלה21[מחיר ליח''])</f>
        <v>#REF!</v>
      </c>
      <c r="E47" s="203">
        <v>1</v>
      </c>
      <c r="F47" s="458" t="e">
        <f t="shared" si="67"/>
        <v>#REF!</v>
      </c>
      <c r="G47" s="461">
        <v>0.17</v>
      </c>
      <c r="H47" s="458" t="e">
        <f>'בוקר צהרים קיטים '!$F47*'בוקר צהרים קיטים '!$G47</f>
        <v>#REF!</v>
      </c>
      <c r="I47" s="460" t="e">
        <f t="shared" si="60"/>
        <v>#REF!</v>
      </c>
      <c r="J47" s="440" t="s">
        <v>145</v>
      </c>
      <c r="K47" s="444" t="s">
        <v>712</v>
      </c>
      <c r="L47" s="440">
        <v>6</v>
      </c>
      <c r="M47" s="202">
        <f t="shared" ref="M47:AB52" si="86">IF(M$4&gt;0,$L47,0)</f>
        <v>0</v>
      </c>
      <c r="N47" s="202">
        <f t="shared" ref="N47:Q52" si="87">IF(N$4&gt;0,$L47,0)</f>
        <v>0</v>
      </c>
      <c r="O47" s="202">
        <f t="shared" si="87"/>
        <v>0</v>
      </c>
      <c r="P47" s="202">
        <f t="shared" si="87"/>
        <v>0</v>
      </c>
      <c r="Q47" s="202">
        <f t="shared" si="87"/>
        <v>0</v>
      </c>
      <c r="R47" s="202">
        <f t="shared" si="86"/>
        <v>0</v>
      </c>
      <c r="S47" s="202">
        <f t="shared" si="86"/>
        <v>0</v>
      </c>
      <c r="T47" s="202">
        <f t="shared" si="86"/>
        <v>0</v>
      </c>
      <c r="U47" s="202">
        <f t="shared" si="86"/>
        <v>0</v>
      </c>
      <c r="V47" s="202">
        <f t="shared" si="86"/>
        <v>0</v>
      </c>
      <c r="W47" s="202">
        <f t="shared" si="86"/>
        <v>0</v>
      </c>
      <c r="X47" s="202">
        <f t="shared" si="86"/>
        <v>0</v>
      </c>
      <c r="Y47" s="202">
        <f t="shared" si="86"/>
        <v>0</v>
      </c>
      <c r="Z47" s="202">
        <f t="shared" si="86"/>
        <v>0</v>
      </c>
      <c r="AA47" s="202">
        <f t="shared" si="86"/>
        <v>0</v>
      </c>
      <c r="AB47" s="202">
        <f t="shared" si="86"/>
        <v>0</v>
      </c>
      <c r="AC47" s="202">
        <f t="shared" ref="AC47:CN50" si="88">IF(AC$4&gt;0,$L47,0)</f>
        <v>0</v>
      </c>
      <c r="AD47" s="202">
        <f t="shared" si="88"/>
        <v>0</v>
      </c>
      <c r="AE47" s="202">
        <f t="shared" si="88"/>
        <v>0</v>
      </c>
      <c r="AF47" s="202">
        <f t="shared" si="88"/>
        <v>0</v>
      </c>
      <c r="AG47" s="202">
        <f t="shared" si="88"/>
        <v>0</v>
      </c>
      <c r="AH47" s="202">
        <f t="shared" si="88"/>
        <v>0</v>
      </c>
      <c r="AI47" s="202">
        <f t="shared" si="88"/>
        <v>0</v>
      </c>
      <c r="AJ47" s="202">
        <f t="shared" si="88"/>
        <v>0</v>
      </c>
      <c r="AK47" s="202">
        <f t="shared" si="88"/>
        <v>0</v>
      </c>
      <c r="AL47" s="202">
        <f t="shared" si="88"/>
        <v>0</v>
      </c>
      <c r="AM47" s="202">
        <f t="shared" si="88"/>
        <v>0</v>
      </c>
      <c r="AN47" s="202">
        <f t="shared" si="88"/>
        <v>0</v>
      </c>
      <c r="AO47" s="202">
        <f t="shared" si="88"/>
        <v>0</v>
      </c>
      <c r="AP47" s="202">
        <f t="shared" si="88"/>
        <v>0</v>
      </c>
      <c r="AQ47" s="202">
        <f t="shared" si="88"/>
        <v>0</v>
      </c>
      <c r="AR47" s="202">
        <f t="shared" si="88"/>
        <v>0</v>
      </c>
      <c r="AS47" s="202">
        <f t="shared" si="88"/>
        <v>0</v>
      </c>
      <c r="AT47" s="202">
        <f t="shared" si="88"/>
        <v>0</v>
      </c>
      <c r="AU47" s="202">
        <f t="shared" si="88"/>
        <v>0</v>
      </c>
      <c r="AV47" s="202">
        <f t="shared" si="88"/>
        <v>0</v>
      </c>
      <c r="AW47" s="202">
        <f t="shared" si="88"/>
        <v>0</v>
      </c>
      <c r="AX47" s="202">
        <f t="shared" si="88"/>
        <v>0</v>
      </c>
      <c r="AY47" s="202">
        <f t="shared" si="88"/>
        <v>0</v>
      </c>
      <c r="AZ47" s="202">
        <f t="shared" ref="AZ47:BA52" si="89">IF(AZ$4&gt;0,$L47,0)</f>
        <v>0</v>
      </c>
      <c r="BA47" s="202">
        <f t="shared" si="89"/>
        <v>0</v>
      </c>
      <c r="BB47" s="202">
        <f t="shared" ref="BB47:BI52" si="90">IF(BB$4&gt;0,$L47,0)</f>
        <v>0</v>
      </c>
      <c r="BC47" s="202">
        <f t="shared" si="90"/>
        <v>0</v>
      </c>
      <c r="BD47" s="202">
        <f t="shared" si="90"/>
        <v>0</v>
      </c>
      <c r="BE47" s="202">
        <f t="shared" si="90"/>
        <v>0</v>
      </c>
      <c r="BF47" s="202">
        <f t="shared" si="90"/>
        <v>0</v>
      </c>
      <c r="BG47" s="202">
        <f t="shared" si="90"/>
        <v>0</v>
      </c>
      <c r="BH47" s="202">
        <f t="shared" si="90"/>
        <v>0</v>
      </c>
      <c r="BI47" s="202">
        <f t="shared" si="90"/>
        <v>0</v>
      </c>
      <c r="BJ47" s="202">
        <f t="shared" si="88"/>
        <v>0</v>
      </c>
      <c r="BK47" s="202">
        <f t="shared" si="88"/>
        <v>0</v>
      </c>
      <c r="BL47" s="202">
        <f t="shared" si="88"/>
        <v>0</v>
      </c>
      <c r="BM47" s="202">
        <f t="shared" si="88"/>
        <v>0</v>
      </c>
      <c r="BN47" s="202">
        <f t="shared" si="88"/>
        <v>0</v>
      </c>
      <c r="BO47" s="202">
        <f t="shared" si="88"/>
        <v>0</v>
      </c>
      <c r="BP47" s="202">
        <f t="shared" si="88"/>
        <v>0</v>
      </c>
      <c r="BQ47" s="202">
        <f t="shared" si="88"/>
        <v>0</v>
      </c>
      <c r="BR47" s="202">
        <f t="shared" si="88"/>
        <v>0</v>
      </c>
      <c r="BS47" s="202">
        <f t="shared" si="88"/>
        <v>0</v>
      </c>
      <c r="BT47" s="202">
        <f t="shared" si="88"/>
        <v>0</v>
      </c>
      <c r="BU47" s="202">
        <f t="shared" si="88"/>
        <v>0</v>
      </c>
      <c r="BV47" s="202">
        <f t="shared" si="88"/>
        <v>0</v>
      </c>
      <c r="BW47" s="202">
        <f t="shared" si="88"/>
        <v>0</v>
      </c>
      <c r="BX47" s="202">
        <f t="shared" si="88"/>
        <v>0</v>
      </c>
      <c r="BY47" s="202">
        <f t="shared" si="88"/>
        <v>0</v>
      </c>
      <c r="BZ47" s="202">
        <f t="shared" si="88"/>
        <v>0</v>
      </c>
      <c r="CA47" s="202">
        <f t="shared" si="88"/>
        <v>0</v>
      </c>
      <c r="CB47" s="202">
        <f t="shared" si="88"/>
        <v>0</v>
      </c>
      <c r="CC47" s="202">
        <f t="shared" si="88"/>
        <v>0</v>
      </c>
      <c r="CD47" s="202">
        <f t="shared" si="88"/>
        <v>0</v>
      </c>
      <c r="CE47" s="202">
        <f t="shared" si="88"/>
        <v>0</v>
      </c>
      <c r="CF47" s="202">
        <f t="shared" si="88"/>
        <v>0</v>
      </c>
      <c r="CG47" s="202">
        <f t="shared" si="88"/>
        <v>0</v>
      </c>
      <c r="CH47" s="202">
        <f t="shared" si="88"/>
        <v>0</v>
      </c>
      <c r="CI47" s="202">
        <f t="shared" si="88"/>
        <v>0</v>
      </c>
      <c r="CJ47" s="202">
        <f t="shared" si="88"/>
        <v>0</v>
      </c>
      <c r="CK47" s="202">
        <f t="shared" si="88"/>
        <v>0</v>
      </c>
      <c r="CL47" s="202">
        <f t="shared" si="88"/>
        <v>0</v>
      </c>
      <c r="CM47" s="202">
        <f t="shared" si="88"/>
        <v>0</v>
      </c>
      <c r="CN47" s="202">
        <f t="shared" si="88"/>
        <v>0</v>
      </c>
      <c r="CO47" s="202">
        <f t="shared" ref="CO47:EZ50" si="91">IF(CO$4&gt;0,$L47,0)</f>
        <v>0</v>
      </c>
      <c r="CP47" s="202">
        <f t="shared" si="91"/>
        <v>0</v>
      </c>
      <c r="CQ47" s="202">
        <f t="shared" si="91"/>
        <v>0</v>
      </c>
      <c r="CR47" s="202">
        <f t="shared" si="91"/>
        <v>0</v>
      </c>
      <c r="CS47" s="202">
        <f t="shared" si="91"/>
        <v>0</v>
      </c>
      <c r="CT47" s="202">
        <f t="shared" si="91"/>
        <v>0</v>
      </c>
      <c r="CU47" s="202">
        <f t="shared" si="91"/>
        <v>0</v>
      </c>
      <c r="CV47" s="202">
        <f t="shared" si="91"/>
        <v>0</v>
      </c>
      <c r="CW47" s="202">
        <f t="shared" si="91"/>
        <v>0</v>
      </c>
      <c r="CX47" s="202">
        <f t="shared" si="91"/>
        <v>0</v>
      </c>
      <c r="CY47" s="202">
        <f t="shared" si="91"/>
        <v>0</v>
      </c>
      <c r="CZ47" s="202">
        <f t="shared" si="91"/>
        <v>0</v>
      </c>
      <c r="DA47" s="202">
        <f t="shared" si="91"/>
        <v>0</v>
      </c>
      <c r="DB47" s="202">
        <f t="shared" si="91"/>
        <v>0</v>
      </c>
      <c r="DC47" s="202">
        <f t="shared" si="91"/>
        <v>0</v>
      </c>
      <c r="DD47" s="202">
        <f t="shared" si="91"/>
        <v>0</v>
      </c>
      <c r="DE47" s="202">
        <f t="shared" si="91"/>
        <v>0</v>
      </c>
      <c r="DF47" s="202">
        <f t="shared" si="91"/>
        <v>0</v>
      </c>
      <c r="DG47" s="202">
        <f t="shared" si="91"/>
        <v>0</v>
      </c>
      <c r="DH47" s="202">
        <f t="shared" si="91"/>
        <v>0</v>
      </c>
      <c r="DI47" s="202">
        <f t="shared" si="91"/>
        <v>0</v>
      </c>
      <c r="DJ47" s="202">
        <f t="shared" si="91"/>
        <v>0</v>
      </c>
      <c r="DK47" s="202">
        <f t="shared" si="91"/>
        <v>0</v>
      </c>
      <c r="DL47" s="202">
        <f t="shared" si="91"/>
        <v>0</v>
      </c>
      <c r="DM47" s="202">
        <f t="shared" si="91"/>
        <v>0</v>
      </c>
      <c r="DN47" s="202">
        <f t="shared" si="91"/>
        <v>0</v>
      </c>
      <c r="DO47" s="202">
        <f t="shared" si="91"/>
        <v>0</v>
      </c>
      <c r="DP47" s="202">
        <f t="shared" si="91"/>
        <v>0</v>
      </c>
      <c r="DQ47" s="202">
        <f t="shared" si="91"/>
        <v>0</v>
      </c>
      <c r="DR47" s="202">
        <f t="shared" si="91"/>
        <v>0</v>
      </c>
      <c r="DS47" s="202">
        <f t="shared" si="91"/>
        <v>0</v>
      </c>
      <c r="DT47" s="202">
        <f t="shared" si="91"/>
        <v>0</v>
      </c>
      <c r="DU47" s="202">
        <f t="shared" si="91"/>
        <v>0</v>
      </c>
      <c r="DV47" s="202">
        <f t="shared" si="91"/>
        <v>0</v>
      </c>
      <c r="DW47" s="202">
        <f t="shared" si="91"/>
        <v>0</v>
      </c>
      <c r="DX47" s="202">
        <f t="shared" si="91"/>
        <v>0</v>
      </c>
      <c r="DY47" s="202">
        <f t="shared" si="91"/>
        <v>0</v>
      </c>
      <c r="DZ47" s="202">
        <f t="shared" si="91"/>
        <v>0</v>
      </c>
      <c r="EA47" s="202">
        <f t="shared" si="91"/>
        <v>0</v>
      </c>
      <c r="EB47" s="202">
        <f t="shared" si="91"/>
        <v>0</v>
      </c>
      <c r="EC47" s="202">
        <f t="shared" si="91"/>
        <v>0</v>
      </c>
      <c r="ED47" s="202">
        <f t="shared" si="91"/>
        <v>0</v>
      </c>
      <c r="EE47" s="202">
        <f t="shared" si="91"/>
        <v>0</v>
      </c>
      <c r="EF47" s="202">
        <f t="shared" si="91"/>
        <v>0</v>
      </c>
      <c r="EG47" s="202">
        <f t="shared" si="91"/>
        <v>0</v>
      </c>
      <c r="EH47" s="202">
        <f t="shared" si="91"/>
        <v>0</v>
      </c>
      <c r="EI47" s="202">
        <f t="shared" si="91"/>
        <v>0</v>
      </c>
      <c r="EJ47" s="202">
        <f t="shared" si="91"/>
        <v>0</v>
      </c>
      <c r="EK47" s="202">
        <f t="shared" si="91"/>
        <v>0</v>
      </c>
      <c r="EL47" s="202">
        <f t="shared" si="91"/>
        <v>0</v>
      </c>
      <c r="EM47" s="202">
        <f t="shared" si="91"/>
        <v>0</v>
      </c>
      <c r="EN47" s="202">
        <f t="shared" si="91"/>
        <v>0</v>
      </c>
      <c r="EO47" s="202">
        <f t="shared" si="91"/>
        <v>0</v>
      </c>
      <c r="EP47" s="202">
        <f t="shared" si="91"/>
        <v>0</v>
      </c>
      <c r="EQ47" s="202">
        <f t="shared" si="91"/>
        <v>0</v>
      </c>
      <c r="ER47" s="202">
        <f t="shared" si="91"/>
        <v>0</v>
      </c>
      <c r="ES47" s="202">
        <f t="shared" si="91"/>
        <v>0</v>
      </c>
      <c r="ET47" s="202">
        <f t="shared" si="91"/>
        <v>0</v>
      </c>
      <c r="EU47" s="202">
        <f t="shared" si="91"/>
        <v>0</v>
      </c>
      <c r="EV47" s="202">
        <f t="shared" si="91"/>
        <v>0</v>
      </c>
      <c r="EW47" s="202">
        <f t="shared" si="91"/>
        <v>0</v>
      </c>
      <c r="EX47" s="202">
        <f t="shared" si="91"/>
        <v>0</v>
      </c>
      <c r="EY47" s="202">
        <f t="shared" si="91"/>
        <v>0</v>
      </c>
      <c r="EZ47" s="202">
        <f t="shared" si="91"/>
        <v>0</v>
      </c>
      <c r="FA47" s="202">
        <f t="shared" ref="FA47:FL49" si="92">IF(FA$4&gt;0,$L47,0)</f>
        <v>0</v>
      </c>
      <c r="FB47" s="202">
        <f t="shared" si="92"/>
        <v>0</v>
      </c>
      <c r="FC47" s="202">
        <f t="shared" si="92"/>
        <v>0</v>
      </c>
      <c r="FD47" s="202">
        <f t="shared" si="92"/>
        <v>0</v>
      </c>
      <c r="FE47" s="202">
        <f t="shared" si="92"/>
        <v>0</v>
      </c>
      <c r="FF47" s="202">
        <f t="shared" si="92"/>
        <v>0</v>
      </c>
      <c r="FG47" s="202">
        <f t="shared" si="92"/>
        <v>0</v>
      </c>
      <c r="FH47" s="202">
        <f t="shared" si="92"/>
        <v>0</v>
      </c>
      <c r="FI47" s="202">
        <f t="shared" si="92"/>
        <v>0</v>
      </c>
      <c r="FJ47" s="202">
        <f t="shared" si="92"/>
        <v>0</v>
      </c>
      <c r="FK47" s="202">
        <f t="shared" si="92"/>
        <v>0</v>
      </c>
      <c r="FL47" s="202">
        <f t="shared" si="92"/>
        <v>0</v>
      </c>
      <c r="FM47" s="202">
        <f>SUM(טבלה15[[#This Row],[1]:[156]])</f>
        <v>0</v>
      </c>
      <c r="FN47" s="447">
        <f>CEILING(טבלה15[[#This Row],[סה"כ]],50)</f>
        <v>0</v>
      </c>
      <c r="FO47" s="220" t="str">
        <f>טבלה15[[#This Row],[מוצר]]</f>
        <v>צלחת חד פעמית קר</v>
      </c>
      <c r="FP47" s="220"/>
    </row>
    <row r="48" spans="1:172" ht="16.5" customHeight="1">
      <c r="A48" s="203" t="s">
        <v>683</v>
      </c>
      <c r="B48" s="203">
        <v>17</v>
      </c>
      <c r="C48" s="440" t="s">
        <v>575</v>
      </c>
      <c r="D48" s="427" t="e">
        <f>SUMIF([2]!טבלה21[מקט],'בוקר צהרים קיטים '!$C48,[2]!טבלה21[מחיר ליח''])</f>
        <v>#REF!</v>
      </c>
      <c r="E48" s="203">
        <v>1</v>
      </c>
      <c r="F48" s="458" t="e">
        <f t="shared" si="67"/>
        <v>#REF!</v>
      </c>
      <c r="G48" s="461">
        <v>0.17</v>
      </c>
      <c r="H48" s="458" t="e">
        <f>'בוקר צהרים קיטים '!$F48*'בוקר צהרים קיטים '!$G48</f>
        <v>#REF!</v>
      </c>
      <c r="I48" s="460" t="e">
        <f t="shared" si="60"/>
        <v>#REF!</v>
      </c>
      <c r="J48" s="440" t="s">
        <v>144</v>
      </c>
      <c r="K48" s="444" t="s">
        <v>712</v>
      </c>
      <c r="L48" s="440">
        <v>6</v>
      </c>
      <c r="M48" s="202">
        <f t="shared" si="86"/>
        <v>0</v>
      </c>
      <c r="N48" s="202">
        <f t="shared" si="87"/>
        <v>0</v>
      </c>
      <c r="O48" s="202">
        <f t="shared" si="87"/>
        <v>0</v>
      </c>
      <c r="P48" s="202">
        <f t="shared" si="87"/>
        <v>0</v>
      </c>
      <c r="Q48" s="202">
        <f t="shared" si="87"/>
        <v>0</v>
      </c>
      <c r="R48" s="202">
        <f t="shared" ref="R48:BY51" si="93">IF(R$4&gt;0,$L48,0)</f>
        <v>0</v>
      </c>
      <c r="S48" s="202">
        <f t="shared" si="93"/>
        <v>0</v>
      </c>
      <c r="T48" s="202">
        <f t="shared" si="93"/>
        <v>0</v>
      </c>
      <c r="U48" s="202">
        <f t="shared" si="93"/>
        <v>0</v>
      </c>
      <c r="V48" s="202">
        <f t="shared" si="93"/>
        <v>0</v>
      </c>
      <c r="W48" s="202">
        <f t="shared" si="93"/>
        <v>0</v>
      </c>
      <c r="X48" s="202">
        <f t="shared" si="93"/>
        <v>0</v>
      </c>
      <c r="Y48" s="202">
        <f t="shared" si="93"/>
        <v>0</v>
      </c>
      <c r="Z48" s="202">
        <f t="shared" si="93"/>
        <v>0</v>
      </c>
      <c r="AA48" s="202">
        <f t="shared" si="93"/>
        <v>0</v>
      </c>
      <c r="AB48" s="202">
        <f t="shared" si="93"/>
        <v>0</v>
      </c>
      <c r="AC48" s="202">
        <f t="shared" si="93"/>
        <v>0</v>
      </c>
      <c r="AD48" s="202">
        <f t="shared" si="93"/>
        <v>0</v>
      </c>
      <c r="AE48" s="202">
        <f t="shared" si="93"/>
        <v>0</v>
      </c>
      <c r="AF48" s="202">
        <f t="shared" si="93"/>
        <v>0</v>
      </c>
      <c r="AG48" s="202">
        <f t="shared" si="93"/>
        <v>0</v>
      </c>
      <c r="AH48" s="202">
        <f t="shared" si="93"/>
        <v>0</v>
      </c>
      <c r="AI48" s="202">
        <f t="shared" si="93"/>
        <v>0</v>
      </c>
      <c r="AJ48" s="202">
        <f t="shared" si="93"/>
        <v>0</v>
      </c>
      <c r="AK48" s="202">
        <f t="shared" si="93"/>
        <v>0</v>
      </c>
      <c r="AL48" s="202">
        <f t="shared" si="93"/>
        <v>0</v>
      </c>
      <c r="AM48" s="202">
        <f t="shared" si="93"/>
        <v>0</v>
      </c>
      <c r="AN48" s="202">
        <f t="shared" si="93"/>
        <v>0</v>
      </c>
      <c r="AO48" s="202">
        <f t="shared" si="93"/>
        <v>0</v>
      </c>
      <c r="AP48" s="202">
        <f t="shared" si="93"/>
        <v>0</v>
      </c>
      <c r="AQ48" s="202">
        <f t="shared" si="93"/>
        <v>0</v>
      </c>
      <c r="AR48" s="202">
        <f t="shared" si="93"/>
        <v>0</v>
      </c>
      <c r="AS48" s="202">
        <f t="shared" si="93"/>
        <v>0</v>
      </c>
      <c r="AT48" s="202">
        <f t="shared" si="93"/>
        <v>0</v>
      </c>
      <c r="AU48" s="202">
        <f t="shared" si="93"/>
        <v>0</v>
      </c>
      <c r="AV48" s="202">
        <f t="shared" si="93"/>
        <v>0</v>
      </c>
      <c r="AW48" s="202">
        <f t="shared" si="93"/>
        <v>0</v>
      </c>
      <c r="AX48" s="202">
        <f t="shared" si="93"/>
        <v>0</v>
      </c>
      <c r="AY48" s="202">
        <f t="shared" si="93"/>
        <v>0</v>
      </c>
      <c r="AZ48" s="202">
        <f t="shared" si="89"/>
        <v>0</v>
      </c>
      <c r="BA48" s="202">
        <f t="shared" si="89"/>
        <v>0</v>
      </c>
      <c r="BB48" s="202">
        <f t="shared" si="90"/>
        <v>0</v>
      </c>
      <c r="BC48" s="202">
        <f t="shared" si="90"/>
        <v>0</v>
      </c>
      <c r="BD48" s="202">
        <f t="shared" si="90"/>
        <v>0</v>
      </c>
      <c r="BE48" s="202">
        <f t="shared" si="90"/>
        <v>0</v>
      </c>
      <c r="BF48" s="202">
        <f t="shared" si="90"/>
        <v>0</v>
      </c>
      <c r="BG48" s="202">
        <f t="shared" si="90"/>
        <v>0</v>
      </c>
      <c r="BH48" s="202">
        <f t="shared" si="90"/>
        <v>0</v>
      </c>
      <c r="BI48" s="202">
        <f t="shared" si="90"/>
        <v>0</v>
      </c>
      <c r="BJ48" s="202">
        <f t="shared" si="93"/>
        <v>0</v>
      </c>
      <c r="BK48" s="202">
        <f t="shared" si="93"/>
        <v>0</v>
      </c>
      <c r="BL48" s="202">
        <f t="shared" si="93"/>
        <v>0</v>
      </c>
      <c r="BM48" s="202">
        <f t="shared" si="93"/>
        <v>0</v>
      </c>
      <c r="BN48" s="202">
        <f t="shared" si="93"/>
        <v>0</v>
      </c>
      <c r="BO48" s="202">
        <f t="shared" si="93"/>
        <v>0</v>
      </c>
      <c r="BP48" s="202">
        <f t="shared" si="93"/>
        <v>0</v>
      </c>
      <c r="BQ48" s="202">
        <f t="shared" si="93"/>
        <v>0</v>
      </c>
      <c r="BR48" s="202">
        <f t="shared" si="93"/>
        <v>0</v>
      </c>
      <c r="BS48" s="202">
        <f t="shared" si="93"/>
        <v>0</v>
      </c>
      <c r="BT48" s="202">
        <f t="shared" si="93"/>
        <v>0</v>
      </c>
      <c r="BU48" s="202">
        <f t="shared" si="93"/>
        <v>0</v>
      </c>
      <c r="BV48" s="202">
        <f t="shared" si="93"/>
        <v>0</v>
      </c>
      <c r="BW48" s="202">
        <f t="shared" si="93"/>
        <v>0</v>
      </c>
      <c r="BX48" s="202">
        <f t="shared" si="93"/>
        <v>0</v>
      </c>
      <c r="BY48" s="202">
        <f t="shared" si="93"/>
        <v>0</v>
      </c>
      <c r="BZ48" s="202">
        <f t="shared" si="88"/>
        <v>0</v>
      </c>
      <c r="CA48" s="202">
        <f t="shared" si="88"/>
        <v>0</v>
      </c>
      <c r="CB48" s="202">
        <f t="shared" si="88"/>
        <v>0</v>
      </c>
      <c r="CC48" s="202">
        <f t="shared" si="88"/>
        <v>0</v>
      </c>
      <c r="CD48" s="202">
        <f t="shared" si="88"/>
        <v>0</v>
      </c>
      <c r="CE48" s="202">
        <f t="shared" si="88"/>
        <v>0</v>
      </c>
      <c r="CF48" s="202">
        <f t="shared" si="88"/>
        <v>0</v>
      </c>
      <c r="CG48" s="202">
        <f t="shared" si="88"/>
        <v>0</v>
      </c>
      <c r="CH48" s="202">
        <f t="shared" si="88"/>
        <v>0</v>
      </c>
      <c r="CI48" s="202">
        <f t="shared" si="88"/>
        <v>0</v>
      </c>
      <c r="CJ48" s="202">
        <f t="shared" si="88"/>
        <v>0</v>
      </c>
      <c r="CK48" s="202">
        <f t="shared" si="88"/>
        <v>0</v>
      </c>
      <c r="CL48" s="202">
        <f t="shared" si="88"/>
        <v>0</v>
      </c>
      <c r="CM48" s="202">
        <f t="shared" si="88"/>
        <v>0</v>
      </c>
      <c r="CN48" s="202">
        <f t="shared" si="88"/>
        <v>0</v>
      </c>
      <c r="CO48" s="202">
        <f t="shared" si="91"/>
        <v>0</v>
      </c>
      <c r="CP48" s="202">
        <f t="shared" si="91"/>
        <v>0</v>
      </c>
      <c r="CQ48" s="202">
        <f t="shared" si="91"/>
        <v>0</v>
      </c>
      <c r="CR48" s="202">
        <f t="shared" si="91"/>
        <v>0</v>
      </c>
      <c r="CS48" s="202">
        <f t="shared" si="91"/>
        <v>0</v>
      </c>
      <c r="CT48" s="202">
        <f t="shared" si="91"/>
        <v>0</v>
      </c>
      <c r="CU48" s="202">
        <f t="shared" si="91"/>
        <v>0</v>
      </c>
      <c r="CV48" s="202">
        <f t="shared" si="91"/>
        <v>0</v>
      </c>
      <c r="CW48" s="202">
        <f t="shared" si="91"/>
        <v>0</v>
      </c>
      <c r="CX48" s="202">
        <f t="shared" si="91"/>
        <v>0</v>
      </c>
      <c r="CY48" s="202">
        <f t="shared" si="91"/>
        <v>0</v>
      </c>
      <c r="CZ48" s="202">
        <f t="shared" si="91"/>
        <v>0</v>
      </c>
      <c r="DA48" s="202">
        <f t="shared" si="91"/>
        <v>0</v>
      </c>
      <c r="DB48" s="202">
        <f t="shared" si="91"/>
        <v>0</v>
      </c>
      <c r="DC48" s="202">
        <f t="shared" si="91"/>
        <v>0</v>
      </c>
      <c r="DD48" s="202">
        <f t="shared" si="91"/>
        <v>0</v>
      </c>
      <c r="DE48" s="202">
        <f t="shared" si="91"/>
        <v>0</v>
      </c>
      <c r="DF48" s="202">
        <f t="shared" si="91"/>
        <v>0</v>
      </c>
      <c r="DG48" s="202">
        <f t="shared" si="91"/>
        <v>0</v>
      </c>
      <c r="DH48" s="202">
        <f t="shared" si="91"/>
        <v>0</v>
      </c>
      <c r="DI48" s="202">
        <f t="shared" si="91"/>
        <v>0</v>
      </c>
      <c r="DJ48" s="202">
        <f t="shared" si="91"/>
        <v>0</v>
      </c>
      <c r="DK48" s="202">
        <f t="shared" si="91"/>
        <v>0</v>
      </c>
      <c r="DL48" s="202">
        <f t="shared" si="91"/>
        <v>0</v>
      </c>
      <c r="DM48" s="202">
        <f t="shared" si="91"/>
        <v>0</v>
      </c>
      <c r="DN48" s="202">
        <f t="shared" si="91"/>
        <v>0</v>
      </c>
      <c r="DO48" s="202">
        <f t="shared" si="91"/>
        <v>0</v>
      </c>
      <c r="DP48" s="202">
        <f t="shared" si="91"/>
        <v>0</v>
      </c>
      <c r="DQ48" s="202">
        <f t="shared" si="91"/>
        <v>0</v>
      </c>
      <c r="DR48" s="202">
        <f t="shared" si="91"/>
        <v>0</v>
      </c>
      <c r="DS48" s="202">
        <f t="shared" si="91"/>
        <v>0</v>
      </c>
      <c r="DT48" s="202">
        <f t="shared" si="91"/>
        <v>0</v>
      </c>
      <c r="DU48" s="202">
        <f t="shared" si="91"/>
        <v>0</v>
      </c>
      <c r="DV48" s="202">
        <f t="shared" si="91"/>
        <v>0</v>
      </c>
      <c r="DW48" s="202">
        <f t="shared" si="91"/>
        <v>0</v>
      </c>
      <c r="DX48" s="202">
        <f t="shared" si="91"/>
        <v>0</v>
      </c>
      <c r="DY48" s="202">
        <f t="shared" si="91"/>
        <v>0</v>
      </c>
      <c r="DZ48" s="202">
        <f t="shared" si="91"/>
        <v>0</v>
      </c>
      <c r="EA48" s="202">
        <f t="shared" si="91"/>
        <v>0</v>
      </c>
      <c r="EB48" s="202">
        <f t="shared" si="91"/>
        <v>0</v>
      </c>
      <c r="EC48" s="202">
        <f t="shared" si="91"/>
        <v>0</v>
      </c>
      <c r="ED48" s="202">
        <f t="shared" si="91"/>
        <v>0</v>
      </c>
      <c r="EE48" s="202">
        <f t="shared" si="91"/>
        <v>0</v>
      </c>
      <c r="EF48" s="202">
        <f t="shared" si="91"/>
        <v>0</v>
      </c>
      <c r="EG48" s="202">
        <f t="shared" si="91"/>
        <v>0</v>
      </c>
      <c r="EH48" s="202">
        <f t="shared" si="91"/>
        <v>0</v>
      </c>
      <c r="EI48" s="202">
        <f t="shared" si="91"/>
        <v>0</v>
      </c>
      <c r="EJ48" s="202">
        <f t="shared" si="91"/>
        <v>0</v>
      </c>
      <c r="EK48" s="202">
        <f t="shared" si="91"/>
        <v>0</v>
      </c>
      <c r="EL48" s="202">
        <f t="shared" si="91"/>
        <v>0</v>
      </c>
      <c r="EM48" s="202">
        <f t="shared" si="91"/>
        <v>0</v>
      </c>
      <c r="EN48" s="202">
        <f t="shared" si="91"/>
        <v>0</v>
      </c>
      <c r="EO48" s="202">
        <f t="shared" si="91"/>
        <v>0</v>
      </c>
      <c r="EP48" s="202">
        <f t="shared" si="91"/>
        <v>0</v>
      </c>
      <c r="EQ48" s="202">
        <f t="shared" si="91"/>
        <v>0</v>
      </c>
      <c r="ER48" s="202">
        <f t="shared" si="91"/>
        <v>0</v>
      </c>
      <c r="ES48" s="202">
        <f t="shared" si="91"/>
        <v>0</v>
      </c>
      <c r="ET48" s="202">
        <f t="shared" si="91"/>
        <v>0</v>
      </c>
      <c r="EU48" s="202">
        <f t="shared" si="91"/>
        <v>0</v>
      </c>
      <c r="EV48" s="202">
        <f t="shared" si="91"/>
        <v>0</v>
      </c>
      <c r="EW48" s="202">
        <f t="shared" si="91"/>
        <v>0</v>
      </c>
      <c r="EX48" s="202">
        <f t="shared" si="91"/>
        <v>0</v>
      </c>
      <c r="EY48" s="202">
        <f t="shared" si="91"/>
        <v>0</v>
      </c>
      <c r="EZ48" s="202">
        <f t="shared" si="91"/>
        <v>0</v>
      </c>
      <c r="FA48" s="202">
        <f t="shared" si="92"/>
        <v>0</v>
      </c>
      <c r="FB48" s="202">
        <f t="shared" si="92"/>
        <v>0</v>
      </c>
      <c r="FC48" s="202">
        <f t="shared" si="92"/>
        <v>0</v>
      </c>
      <c r="FD48" s="202">
        <f t="shared" si="92"/>
        <v>0</v>
      </c>
      <c r="FE48" s="202">
        <f t="shared" si="92"/>
        <v>0</v>
      </c>
      <c r="FF48" s="202">
        <f t="shared" si="92"/>
        <v>0</v>
      </c>
      <c r="FG48" s="202">
        <f t="shared" si="92"/>
        <v>0</v>
      </c>
      <c r="FH48" s="202">
        <f t="shared" si="92"/>
        <v>0</v>
      </c>
      <c r="FI48" s="202">
        <f t="shared" si="92"/>
        <v>0</v>
      </c>
      <c r="FJ48" s="202">
        <f t="shared" si="92"/>
        <v>0</v>
      </c>
      <c r="FK48" s="202">
        <f t="shared" si="92"/>
        <v>0</v>
      </c>
      <c r="FL48" s="202">
        <f t="shared" si="92"/>
        <v>0</v>
      </c>
      <c r="FM48" s="202">
        <f>SUM(טבלה15[[#This Row],[1]:[156]])</f>
        <v>0</v>
      </c>
      <c r="FN48" s="447">
        <f>CEILING(טבלה15[[#This Row],[סה"כ]],100)</f>
        <v>0</v>
      </c>
      <c r="FO48" s="220" t="str">
        <f>טבלה15[[#This Row],[מוצר]]</f>
        <v xml:space="preserve">מזלג חד פעמי </v>
      </c>
      <c r="FP48" s="220"/>
    </row>
    <row r="49" spans="1:172" ht="16.5" customHeight="1">
      <c r="A49" s="203" t="s">
        <v>683</v>
      </c>
      <c r="B49" s="203">
        <v>18</v>
      </c>
      <c r="C49" s="440" t="s">
        <v>574</v>
      </c>
      <c r="D49" s="427" t="e">
        <f>SUMIF([2]!טבלה21[מקט],'בוקר צהרים קיטים '!$C49,[2]!טבלה21[מחיר ליח''])</f>
        <v>#REF!</v>
      </c>
      <c r="E49" s="203">
        <v>1</v>
      </c>
      <c r="F49" s="458" t="e">
        <f t="shared" si="67"/>
        <v>#REF!</v>
      </c>
      <c r="G49" s="461">
        <v>0.17</v>
      </c>
      <c r="H49" s="458" t="e">
        <f>'בוקר צהרים קיטים '!$F49*'בוקר צהרים קיטים '!$G49</f>
        <v>#REF!</v>
      </c>
      <c r="I49" s="460" t="e">
        <f t="shared" si="60"/>
        <v>#REF!</v>
      </c>
      <c r="J49" s="440" t="s">
        <v>143</v>
      </c>
      <c r="K49" s="444" t="s">
        <v>712</v>
      </c>
      <c r="L49" s="440">
        <v>6</v>
      </c>
      <c r="M49" s="202">
        <f t="shared" si="86"/>
        <v>0</v>
      </c>
      <c r="N49" s="202">
        <f t="shared" si="87"/>
        <v>0</v>
      </c>
      <c r="O49" s="202">
        <f>IF(O$4&gt;0,$L49,0)</f>
        <v>0</v>
      </c>
      <c r="P49" s="202">
        <f t="shared" si="87"/>
        <v>0</v>
      </c>
      <c r="Q49" s="202">
        <f t="shared" si="87"/>
        <v>0</v>
      </c>
      <c r="R49" s="202">
        <f t="shared" si="93"/>
        <v>0</v>
      </c>
      <c r="S49" s="202">
        <f t="shared" si="93"/>
        <v>0</v>
      </c>
      <c r="T49" s="202">
        <f t="shared" si="93"/>
        <v>0</v>
      </c>
      <c r="U49" s="202">
        <f t="shared" si="93"/>
        <v>0</v>
      </c>
      <c r="V49" s="202">
        <f t="shared" si="93"/>
        <v>0</v>
      </c>
      <c r="W49" s="202">
        <f t="shared" si="93"/>
        <v>0</v>
      </c>
      <c r="X49" s="202">
        <f t="shared" si="93"/>
        <v>0</v>
      </c>
      <c r="Y49" s="202">
        <f t="shared" si="93"/>
        <v>0</v>
      </c>
      <c r="Z49" s="202">
        <f t="shared" si="93"/>
        <v>0</v>
      </c>
      <c r="AA49" s="202">
        <f t="shared" si="93"/>
        <v>0</v>
      </c>
      <c r="AB49" s="202">
        <f t="shared" si="93"/>
        <v>0</v>
      </c>
      <c r="AC49" s="202">
        <f t="shared" si="93"/>
        <v>0</v>
      </c>
      <c r="AD49" s="202">
        <f t="shared" si="93"/>
        <v>0</v>
      </c>
      <c r="AE49" s="202">
        <f t="shared" si="93"/>
        <v>0</v>
      </c>
      <c r="AF49" s="202">
        <f t="shared" si="93"/>
        <v>0</v>
      </c>
      <c r="AG49" s="202">
        <f t="shared" si="93"/>
        <v>0</v>
      </c>
      <c r="AH49" s="202">
        <f t="shared" si="93"/>
        <v>0</v>
      </c>
      <c r="AI49" s="202">
        <f t="shared" si="93"/>
        <v>0</v>
      </c>
      <c r="AJ49" s="202">
        <f t="shared" si="93"/>
        <v>0</v>
      </c>
      <c r="AK49" s="202">
        <f t="shared" si="93"/>
        <v>0</v>
      </c>
      <c r="AL49" s="202">
        <f t="shared" si="93"/>
        <v>0</v>
      </c>
      <c r="AM49" s="202">
        <f t="shared" si="93"/>
        <v>0</v>
      </c>
      <c r="AN49" s="202">
        <f t="shared" si="93"/>
        <v>0</v>
      </c>
      <c r="AO49" s="202">
        <f t="shared" si="93"/>
        <v>0</v>
      </c>
      <c r="AP49" s="202">
        <f t="shared" si="93"/>
        <v>0</v>
      </c>
      <c r="AQ49" s="202">
        <f t="shared" si="93"/>
        <v>0</v>
      </c>
      <c r="AR49" s="202">
        <f t="shared" si="93"/>
        <v>0</v>
      </c>
      <c r="AS49" s="202">
        <f t="shared" si="93"/>
        <v>0</v>
      </c>
      <c r="AT49" s="202">
        <f t="shared" si="93"/>
        <v>0</v>
      </c>
      <c r="AU49" s="202">
        <f t="shared" si="93"/>
        <v>0</v>
      </c>
      <c r="AV49" s="202">
        <f t="shared" si="93"/>
        <v>0</v>
      </c>
      <c r="AW49" s="202">
        <f t="shared" si="93"/>
        <v>0</v>
      </c>
      <c r="AX49" s="202">
        <f t="shared" si="93"/>
        <v>0</v>
      </c>
      <c r="AY49" s="202">
        <f t="shared" si="93"/>
        <v>0</v>
      </c>
      <c r="AZ49" s="202">
        <f t="shared" si="89"/>
        <v>0</v>
      </c>
      <c r="BA49" s="202">
        <f t="shared" si="89"/>
        <v>0</v>
      </c>
      <c r="BB49" s="202">
        <f t="shared" si="90"/>
        <v>0</v>
      </c>
      <c r="BC49" s="202">
        <f t="shared" si="90"/>
        <v>0</v>
      </c>
      <c r="BD49" s="202">
        <f t="shared" si="90"/>
        <v>0</v>
      </c>
      <c r="BE49" s="202">
        <f t="shared" si="90"/>
        <v>0</v>
      </c>
      <c r="BF49" s="202">
        <f t="shared" si="90"/>
        <v>0</v>
      </c>
      <c r="BG49" s="202">
        <f t="shared" si="90"/>
        <v>0</v>
      </c>
      <c r="BH49" s="202">
        <f t="shared" si="90"/>
        <v>0</v>
      </c>
      <c r="BI49" s="202">
        <f t="shared" si="90"/>
        <v>0</v>
      </c>
      <c r="BJ49" s="202">
        <f t="shared" si="93"/>
        <v>0</v>
      </c>
      <c r="BK49" s="202">
        <f t="shared" si="93"/>
        <v>0</v>
      </c>
      <c r="BL49" s="202">
        <f t="shared" si="93"/>
        <v>0</v>
      </c>
      <c r="BM49" s="202">
        <f t="shared" si="93"/>
        <v>0</v>
      </c>
      <c r="BN49" s="202">
        <f t="shared" si="93"/>
        <v>0</v>
      </c>
      <c r="BO49" s="202">
        <f t="shared" si="93"/>
        <v>0</v>
      </c>
      <c r="BP49" s="202">
        <f t="shared" si="93"/>
        <v>0</v>
      </c>
      <c r="BQ49" s="202">
        <f t="shared" si="93"/>
        <v>0</v>
      </c>
      <c r="BR49" s="202">
        <f t="shared" si="93"/>
        <v>0</v>
      </c>
      <c r="BS49" s="202">
        <f t="shared" si="93"/>
        <v>0</v>
      </c>
      <c r="BT49" s="202">
        <f t="shared" si="93"/>
        <v>0</v>
      </c>
      <c r="BU49" s="202">
        <f t="shared" si="93"/>
        <v>0</v>
      </c>
      <c r="BV49" s="202">
        <f t="shared" si="93"/>
        <v>0</v>
      </c>
      <c r="BW49" s="202">
        <f t="shared" si="93"/>
        <v>0</v>
      </c>
      <c r="BX49" s="202">
        <f t="shared" si="93"/>
        <v>0</v>
      </c>
      <c r="BY49" s="202">
        <f t="shared" si="93"/>
        <v>0</v>
      </c>
      <c r="BZ49" s="202">
        <f t="shared" si="88"/>
        <v>0</v>
      </c>
      <c r="CA49" s="202">
        <f t="shared" si="88"/>
        <v>0</v>
      </c>
      <c r="CB49" s="202">
        <f t="shared" si="88"/>
        <v>0</v>
      </c>
      <c r="CC49" s="202">
        <f t="shared" si="88"/>
        <v>0</v>
      </c>
      <c r="CD49" s="202">
        <f t="shared" si="88"/>
        <v>0</v>
      </c>
      <c r="CE49" s="202">
        <f t="shared" si="88"/>
        <v>0</v>
      </c>
      <c r="CF49" s="202">
        <f t="shared" si="88"/>
        <v>0</v>
      </c>
      <c r="CG49" s="202">
        <f t="shared" si="88"/>
        <v>0</v>
      </c>
      <c r="CH49" s="202">
        <f t="shared" si="88"/>
        <v>0</v>
      </c>
      <c r="CI49" s="202">
        <f t="shared" si="88"/>
        <v>0</v>
      </c>
      <c r="CJ49" s="202">
        <f t="shared" si="88"/>
        <v>0</v>
      </c>
      <c r="CK49" s="202">
        <f t="shared" si="88"/>
        <v>0</v>
      </c>
      <c r="CL49" s="202">
        <f t="shared" si="88"/>
        <v>0</v>
      </c>
      <c r="CM49" s="202">
        <f t="shared" si="88"/>
        <v>0</v>
      </c>
      <c r="CN49" s="202">
        <f t="shared" si="88"/>
        <v>0</v>
      </c>
      <c r="CO49" s="202">
        <f t="shared" si="91"/>
        <v>0</v>
      </c>
      <c r="CP49" s="202">
        <f t="shared" si="91"/>
        <v>0</v>
      </c>
      <c r="CQ49" s="202">
        <f t="shared" si="91"/>
        <v>0</v>
      </c>
      <c r="CR49" s="202">
        <f t="shared" si="91"/>
        <v>0</v>
      </c>
      <c r="CS49" s="202">
        <f t="shared" si="91"/>
        <v>0</v>
      </c>
      <c r="CT49" s="202">
        <f t="shared" si="91"/>
        <v>0</v>
      </c>
      <c r="CU49" s="202">
        <f t="shared" si="91"/>
        <v>0</v>
      </c>
      <c r="CV49" s="202">
        <f t="shared" si="91"/>
        <v>0</v>
      </c>
      <c r="CW49" s="202">
        <f t="shared" si="91"/>
        <v>0</v>
      </c>
      <c r="CX49" s="202">
        <f t="shared" si="91"/>
        <v>0</v>
      </c>
      <c r="CY49" s="202">
        <f t="shared" si="91"/>
        <v>0</v>
      </c>
      <c r="CZ49" s="202">
        <f t="shared" si="91"/>
        <v>0</v>
      </c>
      <c r="DA49" s="202">
        <f t="shared" si="91"/>
        <v>0</v>
      </c>
      <c r="DB49" s="202">
        <f t="shared" si="91"/>
        <v>0</v>
      </c>
      <c r="DC49" s="202">
        <f t="shared" si="91"/>
        <v>0</v>
      </c>
      <c r="DD49" s="202">
        <f t="shared" si="91"/>
        <v>0</v>
      </c>
      <c r="DE49" s="202">
        <f t="shared" si="91"/>
        <v>0</v>
      </c>
      <c r="DF49" s="202">
        <f t="shared" si="91"/>
        <v>0</v>
      </c>
      <c r="DG49" s="202">
        <f t="shared" si="91"/>
        <v>0</v>
      </c>
      <c r="DH49" s="202">
        <f t="shared" si="91"/>
        <v>0</v>
      </c>
      <c r="DI49" s="202">
        <f t="shared" si="91"/>
        <v>0</v>
      </c>
      <c r="DJ49" s="202">
        <f t="shared" si="91"/>
        <v>0</v>
      </c>
      <c r="DK49" s="202">
        <f t="shared" si="91"/>
        <v>0</v>
      </c>
      <c r="DL49" s="202">
        <f t="shared" si="91"/>
        <v>0</v>
      </c>
      <c r="DM49" s="202">
        <f t="shared" si="91"/>
        <v>0</v>
      </c>
      <c r="DN49" s="202">
        <f t="shared" si="91"/>
        <v>0</v>
      </c>
      <c r="DO49" s="202">
        <f t="shared" si="91"/>
        <v>0</v>
      </c>
      <c r="DP49" s="202">
        <f t="shared" si="91"/>
        <v>0</v>
      </c>
      <c r="DQ49" s="202">
        <f t="shared" si="91"/>
        <v>0</v>
      </c>
      <c r="DR49" s="202">
        <f t="shared" si="91"/>
        <v>0</v>
      </c>
      <c r="DS49" s="202">
        <f t="shared" si="91"/>
        <v>0</v>
      </c>
      <c r="DT49" s="202">
        <f t="shared" si="91"/>
        <v>0</v>
      </c>
      <c r="DU49" s="202">
        <f t="shared" si="91"/>
        <v>0</v>
      </c>
      <c r="DV49" s="202">
        <f t="shared" si="91"/>
        <v>0</v>
      </c>
      <c r="DW49" s="202">
        <f t="shared" si="91"/>
        <v>0</v>
      </c>
      <c r="DX49" s="202">
        <f t="shared" si="91"/>
        <v>0</v>
      </c>
      <c r="DY49" s="202">
        <f t="shared" si="91"/>
        <v>0</v>
      </c>
      <c r="DZ49" s="202">
        <f t="shared" si="91"/>
        <v>0</v>
      </c>
      <c r="EA49" s="202">
        <f t="shared" si="91"/>
        <v>0</v>
      </c>
      <c r="EB49" s="202">
        <f t="shared" si="91"/>
        <v>0</v>
      </c>
      <c r="EC49" s="202">
        <f t="shared" si="91"/>
        <v>0</v>
      </c>
      <c r="ED49" s="202">
        <f t="shared" si="91"/>
        <v>0</v>
      </c>
      <c r="EE49" s="202">
        <f t="shared" si="91"/>
        <v>0</v>
      </c>
      <c r="EF49" s="202">
        <f t="shared" si="91"/>
        <v>0</v>
      </c>
      <c r="EG49" s="202">
        <f t="shared" si="91"/>
        <v>0</v>
      </c>
      <c r="EH49" s="202">
        <f t="shared" si="91"/>
        <v>0</v>
      </c>
      <c r="EI49" s="202">
        <f t="shared" si="91"/>
        <v>0</v>
      </c>
      <c r="EJ49" s="202">
        <f t="shared" si="91"/>
        <v>0</v>
      </c>
      <c r="EK49" s="202">
        <f t="shared" si="91"/>
        <v>0</v>
      </c>
      <c r="EL49" s="202">
        <f t="shared" si="91"/>
        <v>0</v>
      </c>
      <c r="EM49" s="202">
        <f t="shared" si="91"/>
        <v>0</v>
      </c>
      <c r="EN49" s="202">
        <f t="shared" si="91"/>
        <v>0</v>
      </c>
      <c r="EO49" s="202">
        <f t="shared" si="91"/>
        <v>0</v>
      </c>
      <c r="EP49" s="202">
        <f t="shared" si="91"/>
        <v>0</v>
      </c>
      <c r="EQ49" s="202">
        <f t="shared" si="91"/>
        <v>0</v>
      </c>
      <c r="ER49" s="202">
        <f t="shared" si="91"/>
        <v>0</v>
      </c>
      <c r="ES49" s="202">
        <f t="shared" si="91"/>
        <v>0</v>
      </c>
      <c r="ET49" s="202">
        <f t="shared" si="91"/>
        <v>0</v>
      </c>
      <c r="EU49" s="202">
        <f t="shared" si="91"/>
        <v>0</v>
      </c>
      <c r="EV49" s="202">
        <f t="shared" si="91"/>
        <v>0</v>
      </c>
      <c r="EW49" s="202">
        <f t="shared" si="91"/>
        <v>0</v>
      </c>
      <c r="EX49" s="202">
        <f t="shared" si="91"/>
        <v>0</v>
      </c>
      <c r="EY49" s="202">
        <f t="shared" si="91"/>
        <v>0</v>
      </c>
      <c r="EZ49" s="202">
        <f t="shared" si="91"/>
        <v>0</v>
      </c>
      <c r="FA49" s="202">
        <f t="shared" si="92"/>
        <v>0</v>
      </c>
      <c r="FB49" s="202">
        <f t="shared" si="92"/>
        <v>0</v>
      </c>
      <c r="FC49" s="202">
        <f t="shared" si="92"/>
        <v>0</v>
      </c>
      <c r="FD49" s="202">
        <f t="shared" si="92"/>
        <v>0</v>
      </c>
      <c r="FE49" s="202">
        <f t="shared" si="92"/>
        <v>0</v>
      </c>
      <c r="FF49" s="202">
        <f t="shared" si="92"/>
        <v>0</v>
      </c>
      <c r="FG49" s="202">
        <f t="shared" si="92"/>
        <v>0</v>
      </c>
      <c r="FH49" s="202">
        <f t="shared" si="92"/>
        <v>0</v>
      </c>
      <c r="FI49" s="202">
        <f t="shared" si="92"/>
        <v>0</v>
      </c>
      <c r="FJ49" s="202">
        <f t="shared" si="92"/>
        <v>0</v>
      </c>
      <c r="FK49" s="202">
        <f t="shared" si="92"/>
        <v>0</v>
      </c>
      <c r="FL49" s="202">
        <f t="shared" si="92"/>
        <v>0</v>
      </c>
      <c r="FM49" s="202">
        <f>SUM(טבלה15[[#This Row],[1]:[156]])</f>
        <v>0</v>
      </c>
      <c r="FN49" s="447">
        <f>CEILING(טבלה15[[#This Row],[סה"כ]],100)</f>
        <v>0</v>
      </c>
      <c r="FO49" s="220" t="str">
        <f>טבלה15[[#This Row],[מוצר]]</f>
        <v xml:space="preserve">סכין חד פעמי </v>
      </c>
      <c r="FP49" s="220"/>
    </row>
    <row r="50" spans="1:172" ht="16.5" customHeight="1">
      <c r="A50" s="203" t="s">
        <v>683</v>
      </c>
      <c r="B50" s="203">
        <v>19</v>
      </c>
      <c r="C50" s="440" t="s">
        <v>578</v>
      </c>
      <c r="D50" s="427" t="e">
        <f>SUMIF([2]!טבלה21[מקט],'בוקר צהרים קיטים '!$C50,[2]!טבלה21[מחיר ליח''])</f>
        <v>#REF!</v>
      </c>
      <c r="E50" s="203">
        <v>1</v>
      </c>
      <c r="F50" s="458" t="e">
        <f t="shared" si="67"/>
        <v>#REF!</v>
      </c>
      <c r="G50" s="461">
        <v>0.17</v>
      </c>
      <c r="H50" s="458" t="e">
        <f>'בוקר צהרים קיטים '!$F50*'בוקר צהרים קיטים '!$G50</f>
        <v>#REF!</v>
      </c>
      <c r="I50" s="460" t="e">
        <f t="shared" si="60"/>
        <v>#REF!</v>
      </c>
      <c r="J50" s="440" t="s">
        <v>688</v>
      </c>
      <c r="K50" s="444" t="s">
        <v>684</v>
      </c>
      <c r="L50" s="449">
        <v>5</v>
      </c>
      <c r="M50" s="202">
        <f t="shared" si="86"/>
        <v>0</v>
      </c>
      <c r="N50" s="202">
        <f t="shared" si="87"/>
        <v>0</v>
      </c>
      <c r="O50" s="202">
        <f t="shared" si="87"/>
        <v>0</v>
      </c>
      <c r="P50" s="202">
        <f t="shared" si="87"/>
        <v>0</v>
      </c>
      <c r="Q50" s="202">
        <f t="shared" si="87"/>
        <v>0</v>
      </c>
      <c r="R50" s="202">
        <f t="shared" si="93"/>
        <v>0</v>
      </c>
      <c r="S50" s="202">
        <f t="shared" si="93"/>
        <v>0</v>
      </c>
      <c r="T50" s="202">
        <f t="shared" si="93"/>
        <v>0</v>
      </c>
      <c r="U50" s="202">
        <f t="shared" si="93"/>
        <v>0</v>
      </c>
      <c r="V50" s="202">
        <f t="shared" si="93"/>
        <v>0</v>
      </c>
      <c r="W50" s="202">
        <f t="shared" si="93"/>
        <v>0</v>
      </c>
      <c r="X50" s="202">
        <f t="shared" si="93"/>
        <v>0</v>
      </c>
      <c r="Y50" s="202">
        <f t="shared" si="93"/>
        <v>0</v>
      </c>
      <c r="Z50" s="202">
        <f t="shared" si="93"/>
        <v>0</v>
      </c>
      <c r="AA50" s="202">
        <f t="shared" si="93"/>
        <v>0</v>
      </c>
      <c r="AB50" s="202">
        <f t="shared" si="93"/>
        <v>0</v>
      </c>
      <c r="AC50" s="202">
        <f t="shared" si="93"/>
        <v>0</v>
      </c>
      <c r="AD50" s="202">
        <f t="shared" si="93"/>
        <v>0</v>
      </c>
      <c r="AE50" s="202">
        <f t="shared" si="93"/>
        <v>0</v>
      </c>
      <c r="AF50" s="202">
        <f t="shared" si="93"/>
        <v>0</v>
      </c>
      <c r="AG50" s="202">
        <f t="shared" si="93"/>
        <v>0</v>
      </c>
      <c r="AH50" s="202">
        <f t="shared" si="93"/>
        <v>0</v>
      </c>
      <c r="AI50" s="202">
        <f t="shared" si="93"/>
        <v>0</v>
      </c>
      <c r="AJ50" s="202">
        <f t="shared" si="93"/>
        <v>0</v>
      </c>
      <c r="AK50" s="202">
        <f t="shared" si="93"/>
        <v>0</v>
      </c>
      <c r="AL50" s="202">
        <f t="shared" si="93"/>
        <v>0</v>
      </c>
      <c r="AM50" s="202">
        <f t="shared" si="93"/>
        <v>0</v>
      </c>
      <c r="AN50" s="202">
        <f t="shared" si="93"/>
        <v>0</v>
      </c>
      <c r="AO50" s="202">
        <f t="shared" si="93"/>
        <v>0</v>
      </c>
      <c r="AP50" s="202">
        <f t="shared" si="93"/>
        <v>0</v>
      </c>
      <c r="AQ50" s="202">
        <f t="shared" si="93"/>
        <v>0</v>
      </c>
      <c r="AR50" s="202">
        <f t="shared" si="93"/>
        <v>0</v>
      </c>
      <c r="AS50" s="202">
        <f t="shared" si="93"/>
        <v>0</v>
      </c>
      <c r="AT50" s="202">
        <f t="shared" si="93"/>
        <v>0</v>
      </c>
      <c r="AU50" s="202">
        <f t="shared" si="93"/>
        <v>0</v>
      </c>
      <c r="AV50" s="202">
        <f t="shared" si="93"/>
        <v>0</v>
      </c>
      <c r="AW50" s="202">
        <f t="shared" si="93"/>
        <v>0</v>
      </c>
      <c r="AX50" s="202">
        <f t="shared" si="93"/>
        <v>0</v>
      </c>
      <c r="AY50" s="202">
        <f t="shared" si="93"/>
        <v>0</v>
      </c>
      <c r="AZ50" s="202">
        <f t="shared" si="89"/>
        <v>0</v>
      </c>
      <c r="BA50" s="202">
        <f t="shared" si="89"/>
        <v>0</v>
      </c>
      <c r="BB50" s="202">
        <f t="shared" si="90"/>
        <v>0</v>
      </c>
      <c r="BC50" s="202">
        <f t="shared" si="90"/>
        <v>0</v>
      </c>
      <c r="BD50" s="202">
        <f t="shared" si="90"/>
        <v>0</v>
      </c>
      <c r="BE50" s="202">
        <f t="shared" si="90"/>
        <v>0</v>
      </c>
      <c r="BF50" s="202">
        <f t="shared" si="90"/>
        <v>0</v>
      </c>
      <c r="BG50" s="202">
        <f t="shared" si="90"/>
        <v>0</v>
      </c>
      <c r="BH50" s="202">
        <f t="shared" si="90"/>
        <v>0</v>
      </c>
      <c r="BI50" s="202">
        <f t="shared" si="90"/>
        <v>0</v>
      </c>
      <c r="BJ50" s="202">
        <f t="shared" si="93"/>
        <v>0</v>
      </c>
      <c r="BK50" s="202">
        <f t="shared" si="93"/>
        <v>0</v>
      </c>
      <c r="BL50" s="202">
        <f t="shared" si="93"/>
        <v>0</v>
      </c>
      <c r="BM50" s="202">
        <f t="shared" si="93"/>
        <v>0</v>
      </c>
      <c r="BN50" s="202">
        <f t="shared" si="93"/>
        <v>0</v>
      </c>
      <c r="BO50" s="202">
        <f t="shared" si="93"/>
        <v>0</v>
      </c>
      <c r="BP50" s="202">
        <f t="shared" si="93"/>
        <v>0</v>
      </c>
      <c r="BQ50" s="202">
        <f t="shared" si="93"/>
        <v>0</v>
      </c>
      <c r="BR50" s="202">
        <f t="shared" si="93"/>
        <v>0</v>
      </c>
      <c r="BS50" s="202">
        <f t="shared" si="93"/>
        <v>0</v>
      </c>
      <c r="BT50" s="202">
        <f t="shared" si="93"/>
        <v>0</v>
      </c>
      <c r="BU50" s="202">
        <f t="shared" si="93"/>
        <v>0</v>
      </c>
      <c r="BV50" s="202">
        <f t="shared" si="93"/>
        <v>0</v>
      </c>
      <c r="BW50" s="202">
        <f t="shared" si="93"/>
        <v>0</v>
      </c>
      <c r="BX50" s="202">
        <f t="shared" si="93"/>
        <v>0</v>
      </c>
      <c r="BY50" s="202">
        <f t="shared" si="93"/>
        <v>0</v>
      </c>
      <c r="BZ50" s="202">
        <f t="shared" si="88"/>
        <v>0</v>
      </c>
      <c r="CA50" s="202">
        <f t="shared" si="88"/>
        <v>0</v>
      </c>
      <c r="CB50" s="202">
        <f t="shared" si="88"/>
        <v>0</v>
      </c>
      <c r="CC50" s="202">
        <f t="shared" si="88"/>
        <v>0</v>
      </c>
      <c r="CD50" s="202">
        <f t="shared" si="88"/>
        <v>0</v>
      </c>
      <c r="CE50" s="202">
        <f t="shared" si="88"/>
        <v>0</v>
      </c>
      <c r="CF50" s="202">
        <f t="shared" si="88"/>
        <v>0</v>
      </c>
      <c r="CG50" s="202">
        <f t="shared" si="88"/>
        <v>0</v>
      </c>
      <c r="CH50" s="202">
        <f t="shared" si="88"/>
        <v>0</v>
      </c>
      <c r="CI50" s="202">
        <f t="shared" si="88"/>
        <v>0</v>
      </c>
      <c r="CJ50" s="202">
        <f t="shared" si="88"/>
        <v>0</v>
      </c>
      <c r="CK50" s="202">
        <f t="shared" si="88"/>
        <v>0</v>
      </c>
      <c r="CL50" s="202">
        <f t="shared" si="88"/>
        <v>0</v>
      </c>
      <c r="CM50" s="202">
        <f t="shared" si="88"/>
        <v>0</v>
      </c>
      <c r="CN50" s="202">
        <f t="shared" si="88"/>
        <v>0</v>
      </c>
      <c r="CO50" s="202">
        <f t="shared" si="91"/>
        <v>0</v>
      </c>
      <c r="CP50" s="202">
        <f t="shared" si="91"/>
        <v>0</v>
      </c>
      <c r="CQ50" s="202">
        <f t="shared" si="91"/>
        <v>0</v>
      </c>
      <c r="CR50" s="202">
        <f t="shared" si="91"/>
        <v>0</v>
      </c>
      <c r="CS50" s="202">
        <f t="shared" si="91"/>
        <v>0</v>
      </c>
      <c r="CT50" s="202">
        <f t="shared" si="91"/>
        <v>0</v>
      </c>
      <c r="CU50" s="202">
        <f t="shared" si="91"/>
        <v>0</v>
      </c>
      <c r="CV50" s="202">
        <f t="shared" si="91"/>
        <v>0</v>
      </c>
      <c r="CW50" s="202">
        <f t="shared" si="91"/>
        <v>0</v>
      </c>
      <c r="CX50" s="202">
        <f t="shared" si="91"/>
        <v>0</v>
      </c>
      <c r="CY50" s="202">
        <f t="shared" si="91"/>
        <v>0</v>
      </c>
      <c r="CZ50" s="202">
        <f t="shared" si="91"/>
        <v>0</v>
      </c>
      <c r="DA50" s="202">
        <f t="shared" si="91"/>
        <v>0</v>
      </c>
      <c r="DB50" s="202">
        <f t="shared" si="91"/>
        <v>0</v>
      </c>
      <c r="DC50" s="202">
        <f t="shared" si="91"/>
        <v>0</v>
      </c>
      <c r="DD50" s="202">
        <f t="shared" si="91"/>
        <v>0</v>
      </c>
      <c r="DE50" s="202">
        <f t="shared" si="91"/>
        <v>0</v>
      </c>
      <c r="DF50" s="202">
        <f t="shared" si="91"/>
        <v>0</v>
      </c>
      <c r="DG50" s="202">
        <f t="shared" si="91"/>
        <v>0</v>
      </c>
      <c r="DH50" s="202">
        <f t="shared" si="91"/>
        <v>0</v>
      </c>
      <c r="DI50" s="202">
        <f t="shared" si="91"/>
        <v>0</v>
      </c>
      <c r="DJ50" s="202">
        <f t="shared" si="91"/>
        <v>0</v>
      </c>
      <c r="DK50" s="202">
        <f t="shared" si="91"/>
        <v>0</v>
      </c>
      <c r="DL50" s="202">
        <f t="shared" si="91"/>
        <v>0</v>
      </c>
      <c r="DM50" s="202">
        <f t="shared" si="91"/>
        <v>0</v>
      </c>
      <c r="DN50" s="202">
        <f t="shared" si="91"/>
        <v>0</v>
      </c>
      <c r="DO50" s="202">
        <f t="shared" si="91"/>
        <v>0</v>
      </c>
      <c r="DP50" s="202">
        <f t="shared" si="91"/>
        <v>0</v>
      </c>
      <c r="DQ50" s="202">
        <f t="shared" si="91"/>
        <v>0</v>
      </c>
      <c r="DR50" s="202">
        <f t="shared" si="91"/>
        <v>0</v>
      </c>
      <c r="DS50" s="202">
        <f t="shared" si="91"/>
        <v>0</v>
      </c>
      <c r="DT50" s="202">
        <f t="shared" si="91"/>
        <v>0</v>
      </c>
      <c r="DU50" s="202">
        <f t="shared" si="91"/>
        <v>0</v>
      </c>
      <c r="DV50" s="202">
        <f t="shared" si="91"/>
        <v>0</v>
      </c>
      <c r="DW50" s="202">
        <f t="shared" si="91"/>
        <v>0</v>
      </c>
      <c r="DX50" s="202">
        <f t="shared" si="91"/>
        <v>0</v>
      </c>
      <c r="DY50" s="202">
        <f t="shared" si="91"/>
        <v>0</v>
      </c>
      <c r="DZ50" s="202">
        <f t="shared" si="91"/>
        <v>0</v>
      </c>
      <c r="EA50" s="202">
        <f t="shared" si="91"/>
        <v>0</v>
      </c>
      <c r="EB50" s="202">
        <f t="shared" si="91"/>
        <v>0</v>
      </c>
      <c r="EC50" s="202">
        <f t="shared" si="91"/>
        <v>0</v>
      </c>
      <c r="ED50" s="202">
        <f t="shared" si="91"/>
        <v>0</v>
      </c>
      <c r="EE50" s="202">
        <f t="shared" si="91"/>
        <v>0</v>
      </c>
      <c r="EF50" s="202">
        <f t="shared" si="91"/>
        <v>0</v>
      </c>
      <c r="EG50" s="202">
        <f t="shared" si="91"/>
        <v>0</v>
      </c>
      <c r="EH50" s="202">
        <f t="shared" si="91"/>
        <v>0</v>
      </c>
      <c r="EI50" s="202">
        <f t="shared" si="91"/>
        <v>0</v>
      </c>
      <c r="EJ50" s="202">
        <f t="shared" si="91"/>
        <v>0</v>
      </c>
      <c r="EK50" s="202">
        <f t="shared" si="91"/>
        <v>0</v>
      </c>
      <c r="EL50" s="202">
        <f t="shared" si="91"/>
        <v>0</v>
      </c>
      <c r="EM50" s="202">
        <f t="shared" si="91"/>
        <v>0</v>
      </c>
      <c r="EN50" s="202">
        <f t="shared" si="91"/>
        <v>0</v>
      </c>
      <c r="EO50" s="202">
        <f t="shared" si="91"/>
        <v>0</v>
      </c>
      <c r="EP50" s="202">
        <f t="shared" si="91"/>
        <v>0</v>
      </c>
      <c r="EQ50" s="202">
        <f t="shared" si="91"/>
        <v>0</v>
      </c>
      <c r="ER50" s="202">
        <f t="shared" si="91"/>
        <v>0</v>
      </c>
      <c r="ES50" s="202">
        <f t="shared" si="91"/>
        <v>0</v>
      </c>
      <c r="ET50" s="202">
        <f t="shared" si="91"/>
        <v>0</v>
      </c>
      <c r="EU50" s="202">
        <f t="shared" si="91"/>
        <v>0</v>
      </c>
      <c r="EV50" s="202">
        <f t="shared" si="91"/>
        <v>0</v>
      </c>
      <c r="EW50" s="202">
        <f t="shared" si="91"/>
        <v>0</v>
      </c>
      <c r="EX50" s="202">
        <f t="shared" si="91"/>
        <v>0</v>
      </c>
      <c r="EY50" s="202">
        <f t="shared" si="91"/>
        <v>0</v>
      </c>
      <c r="EZ50" s="202">
        <f t="shared" ref="EZ50:FL50" si="94">IF(EZ$4&gt;0,$L50,0)</f>
        <v>0</v>
      </c>
      <c r="FA50" s="202">
        <f t="shared" si="94"/>
        <v>0</v>
      </c>
      <c r="FB50" s="202">
        <f t="shared" si="94"/>
        <v>0</v>
      </c>
      <c r="FC50" s="202">
        <f t="shared" si="94"/>
        <v>0</v>
      </c>
      <c r="FD50" s="202">
        <f t="shared" si="94"/>
        <v>0</v>
      </c>
      <c r="FE50" s="202">
        <f t="shared" si="94"/>
        <v>0</v>
      </c>
      <c r="FF50" s="202">
        <f t="shared" si="94"/>
        <v>0</v>
      </c>
      <c r="FG50" s="202">
        <f t="shared" si="94"/>
        <v>0</v>
      </c>
      <c r="FH50" s="202">
        <f t="shared" si="94"/>
        <v>0</v>
      </c>
      <c r="FI50" s="202">
        <f t="shared" si="94"/>
        <v>0</v>
      </c>
      <c r="FJ50" s="202">
        <f t="shared" si="94"/>
        <v>0</v>
      </c>
      <c r="FK50" s="202">
        <f t="shared" si="94"/>
        <v>0</v>
      </c>
      <c r="FL50" s="202">
        <f t="shared" si="94"/>
        <v>0</v>
      </c>
      <c r="FM50" s="202">
        <f>SUM(טבלה15[[#This Row],[1]:[156]])</f>
        <v>0</v>
      </c>
      <c r="FN50" s="447">
        <f>CEILING(טבלה15[[#This Row],[סה"כ]],50)</f>
        <v>0</v>
      </c>
      <c r="FO50" s="220" t="str">
        <f>טבלה15[[#This Row],[מוצר]]</f>
        <v xml:space="preserve">שקיות גופייה לחניכים </v>
      </c>
      <c r="FP50" s="220"/>
    </row>
    <row r="51" spans="1:172" ht="16.5" customHeight="1">
      <c r="A51" s="203" t="s">
        <v>683</v>
      </c>
      <c r="B51" s="203">
        <v>20</v>
      </c>
      <c r="C51" s="440" t="s">
        <v>578</v>
      </c>
      <c r="D51" s="427" t="e">
        <f>SUMIF([2]!טבלה21[מקט],'בוקר צהרים קיטים '!$C51,[2]!טבלה21[מחיר ליח''])</f>
        <v>#REF!</v>
      </c>
      <c r="E51" s="203">
        <v>1</v>
      </c>
      <c r="F51" s="458" t="e">
        <f t="shared" si="67"/>
        <v>#REF!</v>
      </c>
      <c r="G51" s="461">
        <v>0.17</v>
      </c>
      <c r="H51" s="458" t="e">
        <f>'בוקר צהרים קיטים '!$F51*'בוקר צהרים קיטים '!$G51</f>
        <v>#REF!</v>
      </c>
      <c r="I51" s="460" t="e">
        <f t="shared" si="60"/>
        <v>#REF!</v>
      </c>
      <c r="J51" s="440" t="s">
        <v>690</v>
      </c>
      <c r="K51" s="444" t="s">
        <v>712</v>
      </c>
      <c r="L51" s="440">
        <v>6</v>
      </c>
      <c r="M51" s="202">
        <f t="shared" si="86"/>
        <v>0</v>
      </c>
      <c r="N51" s="202">
        <f t="shared" si="87"/>
        <v>0</v>
      </c>
      <c r="O51" s="202">
        <f t="shared" si="87"/>
        <v>0</v>
      </c>
      <c r="P51" s="202">
        <f t="shared" si="87"/>
        <v>0</v>
      </c>
      <c r="Q51" s="202">
        <f t="shared" si="87"/>
        <v>0</v>
      </c>
      <c r="R51" s="202">
        <f t="shared" si="93"/>
        <v>0</v>
      </c>
      <c r="S51" s="202">
        <f t="shared" si="93"/>
        <v>0</v>
      </c>
      <c r="T51" s="202">
        <f t="shared" si="93"/>
        <v>0</v>
      </c>
      <c r="U51" s="202">
        <f t="shared" si="93"/>
        <v>0</v>
      </c>
      <c r="V51" s="202">
        <f t="shared" si="93"/>
        <v>0</v>
      </c>
      <c r="W51" s="202">
        <f t="shared" si="93"/>
        <v>0</v>
      </c>
      <c r="X51" s="202">
        <f t="shared" si="93"/>
        <v>0</v>
      </c>
      <c r="Y51" s="202">
        <f t="shared" si="93"/>
        <v>0</v>
      </c>
      <c r="Z51" s="202">
        <f t="shared" si="93"/>
        <v>0</v>
      </c>
      <c r="AA51" s="202">
        <f t="shared" si="93"/>
        <v>0</v>
      </c>
      <c r="AB51" s="202">
        <f t="shared" si="93"/>
        <v>0</v>
      </c>
      <c r="AC51" s="202">
        <f t="shared" si="93"/>
        <v>0</v>
      </c>
      <c r="AD51" s="202">
        <f t="shared" si="93"/>
        <v>0</v>
      </c>
      <c r="AE51" s="202">
        <f t="shared" si="93"/>
        <v>0</v>
      </c>
      <c r="AF51" s="202">
        <f t="shared" si="93"/>
        <v>0</v>
      </c>
      <c r="AG51" s="202">
        <f t="shared" si="93"/>
        <v>0</v>
      </c>
      <c r="AH51" s="202">
        <f t="shared" si="93"/>
        <v>0</v>
      </c>
      <c r="AI51" s="202">
        <f t="shared" si="93"/>
        <v>0</v>
      </c>
      <c r="AJ51" s="202">
        <f t="shared" si="93"/>
        <v>0</v>
      </c>
      <c r="AK51" s="202">
        <f t="shared" si="93"/>
        <v>0</v>
      </c>
      <c r="AL51" s="202">
        <f t="shared" si="93"/>
        <v>0</v>
      </c>
      <c r="AM51" s="202">
        <f t="shared" si="93"/>
        <v>0</v>
      </c>
      <c r="AN51" s="202">
        <f t="shared" si="93"/>
        <v>0</v>
      </c>
      <c r="AO51" s="202">
        <f t="shared" si="93"/>
        <v>0</v>
      </c>
      <c r="AP51" s="202">
        <f t="shared" si="93"/>
        <v>0</v>
      </c>
      <c r="AQ51" s="202">
        <f t="shared" si="93"/>
        <v>0</v>
      </c>
      <c r="AR51" s="202">
        <f t="shared" si="93"/>
        <v>0</v>
      </c>
      <c r="AS51" s="202">
        <f t="shared" si="93"/>
        <v>0</v>
      </c>
      <c r="AT51" s="202">
        <f t="shared" si="93"/>
        <v>0</v>
      </c>
      <c r="AU51" s="202">
        <f t="shared" si="93"/>
        <v>0</v>
      </c>
      <c r="AV51" s="202">
        <f t="shared" si="93"/>
        <v>0</v>
      </c>
      <c r="AW51" s="202">
        <f t="shared" si="93"/>
        <v>0</v>
      </c>
      <c r="AX51" s="202">
        <f t="shared" si="93"/>
        <v>0</v>
      </c>
      <c r="AY51" s="202">
        <f t="shared" si="93"/>
        <v>0</v>
      </c>
      <c r="AZ51" s="202">
        <f t="shared" si="89"/>
        <v>0</v>
      </c>
      <c r="BA51" s="202">
        <f t="shared" si="89"/>
        <v>0</v>
      </c>
      <c r="BB51" s="202">
        <f t="shared" si="90"/>
        <v>0</v>
      </c>
      <c r="BC51" s="202">
        <f t="shared" si="90"/>
        <v>0</v>
      </c>
      <c r="BD51" s="202">
        <f t="shared" si="90"/>
        <v>0</v>
      </c>
      <c r="BE51" s="202">
        <f t="shared" si="90"/>
        <v>0</v>
      </c>
      <c r="BF51" s="202">
        <f t="shared" si="90"/>
        <v>0</v>
      </c>
      <c r="BG51" s="202">
        <f t="shared" si="90"/>
        <v>0</v>
      </c>
      <c r="BH51" s="202">
        <f t="shared" si="90"/>
        <v>0</v>
      </c>
      <c r="BI51" s="202">
        <f t="shared" si="90"/>
        <v>0</v>
      </c>
      <c r="BJ51" s="202">
        <f t="shared" si="93"/>
        <v>0</v>
      </c>
      <c r="BK51" s="202">
        <f t="shared" si="93"/>
        <v>0</v>
      </c>
      <c r="BL51" s="202">
        <f t="shared" si="93"/>
        <v>0</v>
      </c>
      <c r="BM51" s="202">
        <f t="shared" si="93"/>
        <v>0</v>
      </c>
      <c r="BN51" s="202">
        <f t="shared" si="93"/>
        <v>0</v>
      </c>
      <c r="BO51" s="202">
        <f t="shared" si="93"/>
        <v>0</v>
      </c>
      <c r="BP51" s="202">
        <f t="shared" si="93"/>
        <v>0</v>
      </c>
      <c r="BQ51" s="202">
        <f t="shared" si="93"/>
        <v>0</v>
      </c>
      <c r="BR51" s="202">
        <f t="shared" si="93"/>
        <v>0</v>
      </c>
      <c r="BS51" s="202">
        <f t="shared" si="93"/>
        <v>0</v>
      </c>
      <c r="BT51" s="202">
        <f t="shared" si="93"/>
        <v>0</v>
      </c>
      <c r="BU51" s="202">
        <f t="shared" si="93"/>
        <v>0</v>
      </c>
      <c r="BV51" s="202">
        <f t="shared" si="93"/>
        <v>0</v>
      </c>
      <c r="BW51" s="202">
        <f t="shared" si="93"/>
        <v>0</v>
      </c>
      <c r="BX51" s="202">
        <f t="shared" si="93"/>
        <v>0</v>
      </c>
      <c r="BY51" s="202">
        <f t="shared" ref="BY51:EJ52" si="95">IF(BY$4&gt;0,$L51,0)</f>
        <v>0</v>
      </c>
      <c r="BZ51" s="202">
        <f t="shared" si="95"/>
        <v>0</v>
      </c>
      <c r="CA51" s="202">
        <f t="shared" si="95"/>
        <v>0</v>
      </c>
      <c r="CB51" s="202">
        <f t="shared" si="95"/>
        <v>0</v>
      </c>
      <c r="CC51" s="202">
        <f t="shared" si="95"/>
        <v>0</v>
      </c>
      <c r="CD51" s="202">
        <f t="shared" si="95"/>
        <v>0</v>
      </c>
      <c r="CE51" s="202">
        <f t="shared" si="95"/>
        <v>0</v>
      </c>
      <c r="CF51" s="202">
        <f t="shared" si="95"/>
        <v>0</v>
      </c>
      <c r="CG51" s="202">
        <f t="shared" si="95"/>
        <v>0</v>
      </c>
      <c r="CH51" s="202">
        <f t="shared" si="95"/>
        <v>0</v>
      </c>
      <c r="CI51" s="202">
        <f t="shared" si="95"/>
        <v>0</v>
      </c>
      <c r="CJ51" s="202">
        <f t="shared" si="95"/>
        <v>0</v>
      </c>
      <c r="CK51" s="202">
        <f t="shared" si="95"/>
        <v>0</v>
      </c>
      <c r="CL51" s="202">
        <f t="shared" si="95"/>
        <v>0</v>
      </c>
      <c r="CM51" s="202">
        <f t="shared" si="95"/>
        <v>0</v>
      </c>
      <c r="CN51" s="202">
        <f t="shared" si="95"/>
        <v>0</v>
      </c>
      <c r="CO51" s="202">
        <f t="shared" si="95"/>
        <v>0</v>
      </c>
      <c r="CP51" s="202">
        <f t="shared" si="95"/>
        <v>0</v>
      </c>
      <c r="CQ51" s="202">
        <f t="shared" si="95"/>
        <v>0</v>
      </c>
      <c r="CR51" s="202">
        <f t="shared" si="95"/>
        <v>0</v>
      </c>
      <c r="CS51" s="202">
        <f t="shared" si="95"/>
        <v>0</v>
      </c>
      <c r="CT51" s="202">
        <f t="shared" si="95"/>
        <v>0</v>
      </c>
      <c r="CU51" s="202">
        <f t="shared" si="95"/>
        <v>0</v>
      </c>
      <c r="CV51" s="202">
        <f t="shared" si="95"/>
        <v>0</v>
      </c>
      <c r="CW51" s="202">
        <f t="shared" si="95"/>
        <v>0</v>
      </c>
      <c r="CX51" s="202">
        <f t="shared" si="95"/>
        <v>0</v>
      </c>
      <c r="CY51" s="202">
        <f t="shared" si="95"/>
        <v>0</v>
      </c>
      <c r="CZ51" s="202">
        <f t="shared" si="95"/>
        <v>0</v>
      </c>
      <c r="DA51" s="202">
        <f t="shared" si="95"/>
        <v>0</v>
      </c>
      <c r="DB51" s="202">
        <f t="shared" si="95"/>
        <v>0</v>
      </c>
      <c r="DC51" s="202">
        <f t="shared" si="95"/>
        <v>0</v>
      </c>
      <c r="DD51" s="202">
        <f t="shared" si="95"/>
        <v>0</v>
      </c>
      <c r="DE51" s="202">
        <f t="shared" si="95"/>
        <v>0</v>
      </c>
      <c r="DF51" s="202">
        <f t="shared" si="95"/>
        <v>0</v>
      </c>
      <c r="DG51" s="202">
        <f t="shared" si="95"/>
        <v>0</v>
      </c>
      <c r="DH51" s="202">
        <f t="shared" si="95"/>
        <v>0</v>
      </c>
      <c r="DI51" s="202">
        <f t="shared" si="95"/>
        <v>0</v>
      </c>
      <c r="DJ51" s="202">
        <f t="shared" si="95"/>
        <v>0</v>
      </c>
      <c r="DK51" s="202">
        <f t="shared" si="95"/>
        <v>0</v>
      </c>
      <c r="DL51" s="202">
        <f t="shared" si="95"/>
        <v>0</v>
      </c>
      <c r="DM51" s="202">
        <f t="shared" si="95"/>
        <v>0</v>
      </c>
      <c r="DN51" s="202">
        <f t="shared" si="95"/>
        <v>0</v>
      </c>
      <c r="DO51" s="202">
        <f t="shared" si="95"/>
        <v>0</v>
      </c>
      <c r="DP51" s="202">
        <f t="shared" si="95"/>
        <v>0</v>
      </c>
      <c r="DQ51" s="202">
        <f t="shared" si="95"/>
        <v>0</v>
      </c>
      <c r="DR51" s="202">
        <f t="shared" si="95"/>
        <v>0</v>
      </c>
      <c r="DS51" s="202">
        <f t="shared" si="95"/>
        <v>0</v>
      </c>
      <c r="DT51" s="202">
        <f t="shared" si="95"/>
        <v>0</v>
      </c>
      <c r="DU51" s="202">
        <f t="shared" si="95"/>
        <v>0</v>
      </c>
      <c r="DV51" s="202">
        <f t="shared" si="95"/>
        <v>0</v>
      </c>
      <c r="DW51" s="202">
        <f t="shared" si="95"/>
        <v>0</v>
      </c>
      <c r="DX51" s="202">
        <f t="shared" si="95"/>
        <v>0</v>
      </c>
      <c r="DY51" s="202">
        <f t="shared" si="95"/>
        <v>0</v>
      </c>
      <c r="DZ51" s="202">
        <f t="shared" si="95"/>
        <v>0</v>
      </c>
      <c r="EA51" s="202">
        <f t="shared" si="95"/>
        <v>0</v>
      </c>
      <c r="EB51" s="202">
        <f t="shared" si="95"/>
        <v>0</v>
      </c>
      <c r="EC51" s="202">
        <f t="shared" si="95"/>
        <v>0</v>
      </c>
      <c r="ED51" s="202">
        <f t="shared" si="95"/>
        <v>0</v>
      </c>
      <c r="EE51" s="202">
        <f t="shared" si="95"/>
        <v>0</v>
      </c>
      <c r="EF51" s="202">
        <f t="shared" si="95"/>
        <v>0</v>
      </c>
      <c r="EG51" s="202">
        <f t="shared" si="95"/>
        <v>0</v>
      </c>
      <c r="EH51" s="202">
        <f t="shared" si="95"/>
        <v>0</v>
      </c>
      <c r="EI51" s="202">
        <f t="shared" si="95"/>
        <v>0</v>
      </c>
      <c r="EJ51" s="202">
        <f t="shared" si="95"/>
        <v>0</v>
      </c>
      <c r="EK51" s="202">
        <f t="shared" ref="EK51:FL52" si="96">IF(EK$4&gt;0,$L51,0)</f>
        <v>0</v>
      </c>
      <c r="EL51" s="202">
        <f t="shared" si="96"/>
        <v>0</v>
      </c>
      <c r="EM51" s="202">
        <f t="shared" si="96"/>
        <v>0</v>
      </c>
      <c r="EN51" s="202">
        <f t="shared" si="96"/>
        <v>0</v>
      </c>
      <c r="EO51" s="202">
        <f t="shared" si="96"/>
        <v>0</v>
      </c>
      <c r="EP51" s="202">
        <f t="shared" si="96"/>
        <v>0</v>
      </c>
      <c r="EQ51" s="202">
        <f t="shared" si="96"/>
        <v>0</v>
      </c>
      <c r="ER51" s="202">
        <f t="shared" si="96"/>
        <v>0</v>
      </c>
      <c r="ES51" s="202">
        <f t="shared" si="96"/>
        <v>0</v>
      </c>
      <c r="ET51" s="202">
        <f t="shared" si="96"/>
        <v>0</v>
      </c>
      <c r="EU51" s="202">
        <f t="shared" si="96"/>
        <v>0</v>
      </c>
      <c r="EV51" s="202">
        <f t="shared" si="96"/>
        <v>0</v>
      </c>
      <c r="EW51" s="202">
        <f t="shared" si="96"/>
        <v>0</v>
      </c>
      <c r="EX51" s="202">
        <f t="shared" si="96"/>
        <v>0</v>
      </c>
      <c r="EY51" s="202">
        <f t="shared" si="96"/>
        <v>0</v>
      </c>
      <c r="EZ51" s="202">
        <f t="shared" si="96"/>
        <v>0</v>
      </c>
      <c r="FA51" s="202">
        <f t="shared" si="96"/>
        <v>0</v>
      </c>
      <c r="FB51" s="202">
        <f t="shared" si="96"/>
        <v>0</v>
      </c>
      <c r="FC51" s="202">
        <f t="shared" si="96"/>
        <v>0</v>
      </c>
      <c r="FD51" s="202">
        <f t="shared" si="96"/>
        <v>0</v>
      </c>
      <c r="FE51" s="202">
        <f t="shared" si="96"/>
        <v>0</v>
      </c>
      <c r="FF51" s="202">
        <f t="shared" si="96"/>
        <v>0</v>
      </c>
      <c r="FG51" s="202">
        <f t="shared" si="96"/>
        <v>0</v>
      </c>
      <c r="FH51" s="202">
        <f t="shared" si="96"/>
        <v>0</v>
      </c>
      <c r="FI51" s="202">
        <f t="shared" si="96"/>
        <v>0</v>
      </c>
      <c r="FJ51" s="202">
        <f t="shared" si="96"/>
        <v>0</v>
      </c>
      <c r="FK51" s="202">
        <f t="shared" si="96"/>
        <v>0</v>
      </c>
      <c r="FL51" s="202">
        <f t="shared" si="96"/>
        <v>0</v>
      </c>
      <c r="FM51" s="444">
        <f>SUM(טבלה15[[#This Row],[1]:[156]])</f>
        <v>0</v>
      </c>
      <c r="FN51" s="447">
        <f>CEILING(טבלה15[[#This Row],[סה"כ]],50)</f>
        <v>0</v>
      </c>
      <c r="FO51" s="220" t="str">
        <f>טבלה15[[#This Row],[מוצר]]</f>
        <v>שקיות גופייה להכנת הקיט</v>
      </c>
      <c r="FP51" s="220"/>
    </row>
    <row r="52" spans="1:172" ht="16.5" customHeight="1">
      <c r="A52" s="203" t="s">
        <v>683</v>
      </c>
      <c r="B52" s="203">
        <v>21</v>
      </c>
      <c r="C52" s="440" t="s">
        <v>577</v>
      </c>
      <c r="D52" s="427" t="e">
        <f>SUMIF([2]!טבלה21[מקט],'בוקר צהרים קיטים '!$C52,[2]!טבלה21[מחיר ליח''])</f>
        <v>#REF!</v>
      </c>
      <c r="E52" s="203">
        <v>1</v>
      </c>
      <c r="F52" s="458" t="e">
        <f t="shared" si="67"/>
        <v>#REF!</v>
      </c>
      <c r="G52" s="461">
        <v>0.17</v>
      </c>
      <c r="H52" s="458" t="e">
        <f>'בוקר צהרים קיטים '!$F52*'בוקר צהרים קיטים '!$G52</f>
        <v>#REF!</v>
      </c>
      <c r="I52" s="460" t="e">
        <f t="shared" si="60"/>
        <v>#REF!</v>
      </c>
      <c r="J52" s="440" t="s">
        <v>140</v>
      </c>
      <c r="K52" s="444" t="s">
        <v>713</v>
      </c>
      <c r="L52" s="449">
        <v>2</v>
      </c>
      <c r="M52" s="202">
        <f t="shared" si="86"/>
        <v>0</v>
      </c>
      <c r="N52" s="202">
        <f t="shared" si="87"/>
        <v>0</v>
      </c>
      <c r="O52" s="202">
        <f t="shared" si="87"/>
        <v>0</v>
      </c>
      <c r="P52" s="202">
        <f t="shared" si="87"/>
        <v>0</v>
      </c>
      <c r="Q52" s="202">
        <f t="shared" si="87"/>
        <v>0</v>
      </c>
      <c r="R52" s="202">
        <f t="shared" ref="R52:BY52" si="97">IF(R$4&gt;0,$L52,0)</f>
        <v>0</v>
      </c>
      <c r="S52" s="202">
        <f t="shared" si="97"/>
        <v>0</v>
      </c>
      <c r="T52" s="202">
        <f t="shared" si="97"/>
        <v>0</v>
      </c>
      <c r="U52" s="202">
        <f t="shared" si="97"/>
        <v>0</v>
      </c>
      <c r="V52" s="202">
        <f t="shared" si="97"/>
        <v>0</v>
      </c>
      <c r="W52" s="202">
        <f t="shared" si="97"/>
        <v>0</v>
      </c>
      <c r="X52" s="202">
        <f t="shared" si="97"/>
        <v>0</v>
      </c>
      <c r="Y52" s="202">
        <f t="shared" si="97"/>
        <v>0</v>
      </c>
      <c r="Z52" s="202">
        <f t="shared" si="97"/>
        <v>0</v>
      </c>
      <c r="AA52" s="202">
        <f t="shared" si="97"/>
        <v>0</v>
      </c>
      <c r="AB52" s="202">
        <f t="shared" si="97"/>
        <v>0</v>
      </c>
      <c r="AC52" s="202">
        <f t="shared" si="97"/>
        <v>0</v>
      </c>
      <c r="AD52" s="202">
        <f t="shared" si="97"/>
        <v>0</v>
      </c>
      <c r="AE52" s="202">
        <f t="shared" si="97"/>
        <v>0</v>
      </c>
      <c r="AF52" s="202">
        <f t="shared" si="97"/>
        <v>0</v>
      </c>
      <c r="AG52" s="202">
        <f t="shared" si="97"/>
        <v>0</v>
      </c>
      <c r="AH52" s="202">
        <f t="shared" si="97"/>
        <v>0</v>
      </c>
      <c r="AI52" s="202">
        <f t="shared" si="97"/>
        <v>0</v>
      </c>
      <c r="AJ52" s="202">
        <f t="shared" si="97"/>
        <v>0</v>
      </c>
      <c r="AK52" s="202">
        <f t="shared" si="97"/>
        <v>0</v>
      </c>
      <c r="AL52" s="202">
        <f t="shared" si="97"/>
        <v>0</v>
      </c>
      <c r="AM52" s="202">
        <f t="shared" si="97"/>
        <v>0</v>
      </c>
      <c r="AN52" s="202">
        <f t="shared" si="97"/>
        <v>0</v>
      </c>
      <c r="AO52" s="202">
        <f t="shared" si="97"/>
        <v>0</v>
      </c>
      <c r="AP52" s="202">
        <f t="shared" si="97"/>
        <v>0</v>
      </c>
      <c r="AQ52" s="202">
        <f t="shared" si="97"/>
        <v>0</v>
      </c>
      <c r="AR52" s="202">
        <f t="shared" si="97"/>
        <v>0</v>
      </c>
      <c r="AS52" s="202">
        <f t="shared" si="97"/>
        <v>0</v>
      </c>
      <c r="AT52" s="202">
        <f t="shared" si="97"/>
        <v>0</v>
      </c>
      <c r="AU52" s="202">
        <f t="shared" si="97"/>
        <v>0</v>
      </c>
      <c r="AV52" s="202">
        <f t="shared" si="97"/>
        <v>0</v>
      </c>
      <c r="AW52" s="202">
        <f t="shared" si="97"/>
        <v>0</v>
      </c>
      <c r="AX52" s="202">
        <f t="shared" si="97"/>
        <v>0</v>
      </c>
      <c r="AY52" s="202">
        <f t="shared" si="97"/>
        <v>0</v>
      </c>
      <c r="AZ52" s="202">
        <f t="shared" si="89"/>
        <v>0</v>
      </c>
      <c r="BA52" s="202">
        <f t="shared" si="89"/>
        <v>0</v>
      </c>
      <c r="BB52" s="202">
        <f t="shared" si="90"/>
        <v>0</v>
      </c>
      <c r="BC52" s="202">
        <f t="shared" si="90"/>
        <v>0</v>
      </c>
      <c r="BD52" s="202">
        <f t="shared" si="90"/>
        <v>0</v>
      </c>
      <c r="BE52" s="202">
        <f t="shared" si="90"/>
        <v>0</v>
      </c>
      <c r="BF52" s="202">
        <f t="shared" si="90"/>
        <v>0</v>
      </c>
      <c r="BG52" s="202">
        <f t="shared" si="90"/>
        <v>0</v>
      </c>
      <c r="BH52" s="202">
        <f t="shared" si="90"/>
        <v>0</v>
      </c>
      <c r="BI52" s="202">
        <f t="shared" si="90"/>
        <v>0</v>
      </c>
      <c r="BJ52" s="202">
        <f t="shared" si="97"/>
        <v>0</v>
      </c>
      <c r="BK52" s="202">
        <f t="shared" si="97"/>
        <v>0</v>
      </c>
      <c r="BL52" s="202">
        <f t="shared" si="97"/>
        <v>0</v>
      </c>
      <c r="BM52" s="202">
        <f t="shared" si="97"/>
        <v>0</v>
      </c>
      <c r="BN52" s="202">
        <f t="shared" si="97"/>
        <v>0</v>
      </c>
      <c r="BO52" s="202">
        <f t="shared" si="97"/>
        <v>0</v>
      </c>
      <c r="BP52" s="202">
        <f t="shared" si="97"/>
        <v>0</v>
      </c>
      <c r="BQ52" s="202">
        <f t="shared" si="97"/>
        <v>0</v>
      </c>
      <c r="BR52" s="202">
        <f t="shared" si="97"/>
        <v>0</v>
      </c>
      <c r="BS52" s="202">
        <f t="shared" si="97"/>
        <v>0</v>
      </c>
      <c r="BT52" s="202">
        <f t="shared" si="97"/>
        <v>0</v>
      </c>
      <c r="BU52" s="202">
        <f t="shared" si="97"/>
        <v>0</v>
      </c>
      <c r="BV52" s="202">
        <f t="shared" si="97"/>
        <v>0</v>
      </c>
      <c r="BW52" s="202">
        <f t="shared" si="97"/>
        <v>0</v>
      </c>
      <c r="BX52" s="202">
        <f t="shared" si="97"/>
        <v>0</v>
      </c>
      <c r="BY52" s="202">
        <f t="shared" si="97"/>
        <v>0</v>
      </c>
      <c r="BZ52" s="202">
        <f t="shared" si="95"/>
        <v>0</v>
      </c>
      <c r="CA52" s="202">
        <f t="shared" si="95"/>
        <v>0</v>
      </c>
      <c r="CB52" s="202">
        <f t="shared" si="95"/>
        <v>0</v>
      </c>
      <c r="CC52" s="202">
        <f t="shared" si="95"/>
        <v>0</v>
      </c>
      <c r="CD52" s="202">
        <f t="shared" si="95"/>
        <v>0</v>
      </c>
      <c r="CE52" s="202">
        <f t="shared" si="95"/>
        <v>0</v>
      </c>
      <c r="CF52" s="202">
        <f t="shared" si="95"/>
        <v>0</v>
      </c>
      <c r="CG52" s="202">
        <f t="shared" si="95"/>
        <v>0</v>
      </c>
      <c r="CH52" s="202">
        <f t="shared" si="95"/>
        <v>0</v>
      </c>
      <c r="CI52" s="202">
        <f t="shared" si="95"/>
        <v>0</v>
      </c>
      <c r="CJ52" s="202">
        <f t="shared" si="95"/>
        <v>0</v>
      </c>
      <c r="CK52" s="202">
        <f t="shared" si="95"/>
        <v>0</v>
      </c>
      <c r="CL52" s="202">
        <f t="shared" si="95"/>
        <v>0</v>
      </c>
      <c r="CM52" s="202">
        <f t="shared" si="95"/>
        <v>0</v>
      </c>
      <c r="CN52" s="202">
        <f t="shared" si="95"/>
        <v>0</v>
      </c>
      <c r="CO52" s="202">
        <f t="shared" si="95"/>
        <v>0</v>
      </c>
      <c r="CP52" s="202">
        <f t="shared" si="95"/>
        <v>0</v>
      </c>
      <c r="CQ52" s="202">
        <f t="shared" si="95"/>
        <v>0</v>
      </c>
      <c r="CR52" s="202">
        <f t="shared" si="95"/>
        <v>0</v>
      </c>
      <c r="CS52" s="202">
        <f t="shared" si="95"/>
        <v>0</v>
      </c>
      <c r="CT52" s="202">
        <f t="shared" si="95"/>
        <v>0</v>
      </c>
      <c r="CU52" s="202">
        <f t="shared" si="95"/>
        <v>0</v>
      </c>
      <c r="CV52" s="202">
        <f t="shared" si="95"/>
        <v>0</v>
      </c>
      <c r="CW52" s="202">
        <f t="shared" si="95"/>
        <v>0</v>
      </c>
      <c r="CX52" s="202">
        <f t="shared" si="95"/>
        <v>0</v>
      </c>
      <c r="CY52" s="202">
        <f t="shared" si="95"/>
        <v>0</v>
      </c>
      <c r="CZ52" s="202">
        <f t="shared" si="95"/>
        <v>0</v>
      </c>
      <c r="DA52" s="202">
        <f t="shared" si="95"/>
        <v>0</v>
      </c>
      <c r="DB52" s="202">
        <f t="shared" si="95"/>
        <v>0</v>
      </c>
      <c r="DC52" s="202">
        <f t="shared" si="95"/>
        <v>0</v>
      </c>
      <c r="DD52" s="202">
        <f t="shared" si="95"/>
        <v>0</v>
      </c>
      <c r="DE52" s="202">
        <f t="shared" si="95"/>
        <v>0</v>
      </c>
      <c r="DF52" s="202">
        <f t="shared" si="95"/>
        <v>0</v>
      </c>
      <c r="DG52" s="202">
        <f t="shared" si="95"/>
        <v>0</v>
      </c>
      <c r="DH52" s="202">
        <f t="shared" si="95"/>
        <v>0</v>
      </c>
      <c r="DI52" s="202">
        <f t="shared" si="95"/>
        <v>0</v>
      </c>
      <c r="DJ52" s="202">
        <f t="shared" si="95"/>
        <v>0</v>
      </c>
      <c r="DK52" s="202">
        <f t="shared" si="95"/>
        <v>0</v>
      </c>
      <c r="DL52" s="202">
        <f t="shared" si="95"/>
        <v>0</v>
      </c>
      <c r="DM52" s="202">
        <f t="shared" si="95"/>
        <v>0</v>
      </c>
      <c r="DN52" s="202">
        <f t="shared" si="95"/>
        <v>0</v>
      </c>
      <c r="DO52" s="202">
        <f t="shared" si="95"/>
        <v>0</v>
      </c>
      <c r="DP52" s="202">
        <f t="shared" si="95"/>
        <v>0</v>
      </c>
      <c r="DQ52" s="202">
        <f t="shared" si="95"/>
        <v>0</v>
      </c>
      <c r="DR52" s="202">
        <f t="shared" si="95"/>
        <v>0</v>
      </c>
      <c r="DS52" s="202">
        <f t="shared" si="95"/>
        <v>0</v>
      </c>
      <c r="DT52" s="202">
        <f t="shared" si="95"/>
        <v>0</v>
      </c>
      <c r="DU52" s="202">
        <f t="shared" si="95"/>
        <v>0</v>
      </c>
      <c r="DV52" s="202">
        <f t="shared" si="95"/>
        <v>0</v>
      </c>
      <c r="DW52" s="202">
        <f t="shared" si="95"/>
        <v>0</v>
      </c>
      <c r="DX52" s="202">
        <f t="shared" si="95"/>
        <v>0</v>
      </c>
      <c r="DY52" s="202">
        <f t="shared" si="95"/>
        <v>0</v>
      </c>
      <c r="DZ52" s="202">
        <f t="shared" si="95"/>
        <v>0</v>
      </c>
      <c r="EA52" s="202">
        <f t="shared" si="95"/>
        <v>0</v>
      </c>
      <c r="EB52" s="202">
        <f t="shared" si="95"/>
        <v>0</v>
      </c>
      <c r="EC52" s="202">
        <f t="shared" si="95"/>
        <v>0</v>
      </c>
      <c r="ED52" s="202">
        <f t="shared" si="95"/>
        <v>0</v>
      </c>
      <c r="EE52" s="202">
        <f t="shared" si="95"/>
        <v>0</v>
      </c>
      <c r="EF52" s="202">
        <f t="shared" si="95"/>
        <v>0</v>
      </c>
      <c r="EG52" s="202">
        <f t="shared" si="95"/>
        <v>0</v>
      </c>
      <c r="EH52" s="202">
        <f t="shared" si="95"/>
        <v>0</v>
      </c>
      <c r="EI52" s="202">
        <f t="shared" si="95"/>
        <v>0</v>
      </c>
      <c r="EJ52" s="202">
        <f t="shared" si="95"/>
        <v>0</v>
      </c>
      <c r="EK52" s="202">
        <f t="shared" si="96"/>
        <v>0</v>
      </c>
      <c r="EL52" s="202">
        <f t="shared" si="96"/>
        <v>0</v>
      </c>
      <c r="EM52" s="202">
        <f t="shared" si="96"/>
        <v>0</v>
      </c>
      <c r="EN52" s="202">
        <f t="shared" si="96"/>
        <v>0</v>
      </c>
      <c r="EO52" s="202">
        <f t="shared" si="96"/>
        <v>0</v>
      </c>
      <c r="EP52" s="202">
        <f t="shared" si="96"/>
        <v>0</v>
      </c>
      <c r="EQ52" s="202">
        <f t="shared" si="96"/>
        <v>0</v>
      </c>
      <c r="ER52" s="202">
        <f t="shared" si="96"/>
        <v>0</v>
      </c>
      <c r="ES52" s="202">
        <f t="shared" si="96"/>
        <v>0</v>
      </c>
      <c r="ET52" s="202">
        <f t="shared" si="96"/>
        <v>0</v>
      </c>
      <c r="EU52" s="202">
        <f t="shared" si="96"/>
        <v>0</v>
      </c>
      <c r="EV52" s="202">
        <f t="shared" si="96"/>
        <v>0</v>
      </c>
      <c r="EW52" s="202">
        <f t="shared" si="96"/>
        <v>0</v>
      </c>
      <c r="EX52" s="202">
        <f t="shared" si="96"/>
        <v>0</v>
      </c>
      <c r="EY52" s="202">
        <f t="shared" si="96"/>
        <v>0</v>
      </c>
      <c r="EZ52" s="202">
        <f t="shared" si="96"/>
        <v>0</v>
      </c>
      <c r="FA52" s="202">
        <f t="shared" si="96"/>
        <v>0</v>
      </c>
      <c r="FB52" s="202">
        <f t="shared" si="96"/>
        <v>0</v>
      </c>
      <c r="FC52" s="202">
        <f t="shared" si="96"/>
        <v>0</v>
      </c>
      <c r="FD52" s="202">
        <f t="shared" si="96"/>
        <v>0</v>
      </c>
      <c r="FE52" s="202">
        <f t="shared" si="96"/>
        <v>0</v>
      </c>
      <c r="FF52" s="202">
        <f t="shared" si="96"/>
        <v>0</v>
      </c>
      <c r="FG52" s="202">
        <f t="shared" si="96"/>
        <v>0</v>
      </c>
      <c r="FH52" s="202">
        <f t="shared" si="96"/>
        <v>0</v>
      </c>
      <c r="FI52" s="202">
        <f t="shared" si="96"/>
        <v>0</v>
      </c>
      <c r="FJ52" s="202">
        <f t="shared" si="96"/>
        <v>0</v>
      </c>
      <c r="FK52" s="202">
        <f t="shared" si="96"/>
        <v>0</v>
      </c>
      <c r="FL52" s="202">
        <f t="shared" si="96"/>
        <v>0</v>
      </c>
      <c r="FM52" s="202">
        <f>SUM(טבלה15[[#This Row],[1]:[156]])</f>
        <v>0</v>
      </c>
      <c r="FN52" s="447">
        <f>CEILING(טבלה15[[#This Row],[סה"כ]],25)</f>
        <v>0</v>
      </c>
      <c r="FO52" s="220" t="str">
        <f>טבלה15[[#This Row],[מוצר]]</f>
        <v xml:space="preserve">שקית זבל </v>
      </c>
      <c r="FP52" s="220"/>
    </row>
    <row r="53" spans="1:172" ht="16.5" customHeight="1">
      <c r="A53" s="440" t="s">
        <v>612</v>
      </c>
      <c r="B53" s="203">
        <v>22</v>
      </c>
      <c r="C53" s="440">
        <v>7915</v>
      </c>
      <c r="D53" s="427" t="e">
        <f>SUMIF([2]!טבלה6[קוד מוצר],C53,[2]!טבלה6[מחיר לקוח])</f>
        <v>#REF!</v>
      </c>
      <c r="E53" s="203">
        <v>1</v>
      </c>
      <c r="F53" s="458" t="e">
        <f t="shared" si="67"/>
        <v>#REF!</v>
      </c>
      <c r="G53" s="461">
        <v>0.17</v>
      </c>
      <c r="H53" s="458" t="e">
        <f>'בוקר צהרים קיטים '!$F53*'בוקר צהרים קיטים '!$G53</f>
        <v>#REF!</v>
      </c>
      <c r="I53" s="460" t="e">
        <f t="shared" si="60"/>
        <v>#REF!</v>
      </c>
      <c r="J53" s="462" t="s">
        <v>79</v>
      </c>
      <c r="K53" s="463" t="str">
        <f>IF(J53=$FR$18,"2 לצליאק","1 לצליאק")</f>
        <v>2 לצליאק</v>
      </c>
      <c r="L53" s="462">
        <f>IF(J53=$FR$17,1,2)</f>
        <v>2</v>
      </c>
      <c r="M53" s="202">
        <f>ROUNDUP($L53*M$7,0)</f>
        <v>0</v>
      </c>
      <c r="N53" s="202">
        <f>ROUNDUP($L53*N$7,0)</f>
        <v>0</v>
      </c>
      <c r="O53" s="202">
        <f>ROUNDUP($L53*O$7,0)</f>
        <v>0</v>
      </c>
      <c r="P53" s="202">
        <f>ROUNDUP($L53*P$7,0)</f>
        <v>0</v>
      </c>
      <c r="Q53" s="202">
        <f>ROUNDUP($L53*Q$7,0)</f>
        <v>0</v>
      </c>
      <c r="R53" s="202">
        <f t="shared" ref="R53:BY53" si="98">ROUNDUP($L53*R$7,0)</f>
        <v>0</v>
      </c>
      <c r="S53" s="202">
        <f t="shared" si="98"/>
        <v>0</v>
      </c>
      <c r="T53" s="202">
        <f t="shared" si="98"/>
        <v>0</v>
      </c>
      <c r="U53" s="202">
        <f t="shared" si="98"/>
        <v>0</v>
      </c>
      <c r="V53" s="202">
        <f t="shared" si="98"/>
        <v>0</v>
      </c>
      <c r="W53" s="202">
        <f t="shared" si="98"/>
        <v>0</v>
      </c>
      <c r="X53" s="202">
        <f t="shared" si="98"/>
        <v>0</v>
      </c>
      <c r="Y53" s="202">
        <f t="shared" si="98"/>
        <v>0</v>
      </c>
      <c r="Z53" s="202">
        <f t="shared" si="98"/>
        <v>0</v>
      </c>
      <c r="AA53" s="202">
        <f t="shared" si="98"/>
        <v>0</v>
      </c>
      <c r="AB53" s="202">
        <f t="shared" si="98"/>
        <v>0</v>
      </c>
      <c r="AC53" s="202">
        <f t="shared" si="98"/>
        <v>0</v>
      </c>
      <c r="AD53" s="202">
        <f t="shared" si="98"/>
        <v>0</v>
      </c>
      <c r="AE53" s="202">
        <f t="shared" si="98"/>
        <v>0</v>
      </c>
      <c r="AF53" s="202">
        <f t="shared" si="98"/>
        <v>0</v>
      </c>
      <c r="AG53" s="202">
        <f t="shared" si="98"/>
        <v>0</v>
      </c>
      <c r="AH53" s="202">
        <f t="shared" si="98"/>
        <v>0</v>
      </c>
      <c r="AI53" s="202">
        <f t="shared" si="98"/>
        <v>0</v>
      </c>
      <c r="AJ53" s="202">
        <f t="shared" si="98"/>
        <v>0</v>
      </c>
      <c r="AK53" s="202">
        <f t="shared" si="98"/>
        <v>0</v>
      </c>
      <c r="AL53" s="202">
        <f t="shared" si="98"/>
        <v>0</v>
      </c>
      <c r="AM53" s="202">
        <f t="shared" si="98"/>
        <v>0</v>
      </c>
      <c r="AN53" s="202">
        <f t="shared" si="98"/>
        <v>0</v>
      </c>
      <c r="AO53" s="202">
        <f t="shared" si="98"/>
        <v>0</v>
      </c>
      <c r="AP53" s="202">
        <f t="shared" si="98"/>
        <v>0</v>
      </c>
      <c r="AQ53" s="202">
        <f t="shared" si="98"/>
        <v>0</v>
      </c>
      <c r="AR53" s="202">
        <f t="shared" si="98"/>
        <v>0</v>
      </c>
      <c r="AS53" s="202">
        <f t="shared" si="98"/>
        <v>0</v>
      </c>
      <c r="AT53" s="202">
        <f t="shared" si="98"/>
        <v>0</v>
      </c>
      <c r="AU53" s="202">
        <f t="shared" si="98"/>
        <v>0</v>
      </c>
      <c r="AV53" s="202">
        <f t="shared" si="98"/>
        <v>0</v>
      </c>
      <c r="AW53" s="202">
        <f t="shared" si="98"/>
        <v>0</v>
      </c>
      <c r="AX53" s="202">
        <f t="shared" si="98"/>
        <v>0</v>
      </c>
      <c r="AY53" s="202">
        <f t="shared" si="98"/>
        <v>0</v>
      </c>
      <c r="AZ53" s="202">
        <f t="shared" si="98"/>
        <v>0</v>
      </c>
      <c r="BA53" s="202">
        <f t="shared" si="98"/>
        <v>0</v>
      </c>
      <c r="BB53" s="202">
        <f t="shared" ref="BB53:BI53" si="99">ROUNDUP($L53*BB$7,0)</f>
        <v>0</v>
      </c>
      <c r="BC53" s="202">
        <f t="shared" si="99"/>
        <v>0</v>
      </c>
      <c r="BD53" s="202">
        <f t="shared" si="99"/>
        <v>0</v>
      </c>
      <c r="BE53" s="202">
        <f t="shared" si="99"/>
        <v>0</v>
      </c>
      <c r="BF53" s="202">
        <f t="shared" si="99"/>
        <v>0</v>
      </c>
      <c r="BG53" s="202">
        <f t="shared" si="99"/>
        <v>0</v>
      </c>
      <c r="BH53" s="202">
        <f t="shared" si="99"/>
        <v>0</v>
      </c>
      <c r="BI53" s="202">
        <f t="shared" si="99"/>
        <v>0</v>
      </c>
      <c r="BJ53" s="202">
        <f t="shared" si="98"/>
        <v>0</v>
      </c>
      <c r="BK53" s="202">
        <f t="shared" si="98"/>
        <v>0</v>
      </c>
      <c r="BL53" s="202">
        <f t="shared" si="98"/>
        <v>0</v>
      </c>
      <c r="BM53" s="202">
        <f t="shared" si="98"/>
        <v>0</v>
      </c>
      <c r="BN53" s="202">
        <f t="shared" si="98"/>
        <v>0</v>
      </c>
      <c r="BO53" s="202">
        <f t="shared" si="98"/>
        <v>0</v>
      </c>
      <c r="BP53" s="202">
        <f t="shared" si="98"/>
        <v>0</v>
      </c>
      <c r="BQ53" s="202">
        <f t="shared" si="98"/>
        <v>0</v>
      </c>
      <c r="BR53" s="202">
        <f t="shared" si="98"/>
        <v>0</v>
      </c>
      <c r="BS53" s="202">
        <f t="shared" si="98"/>
        <v>0</v>
      </c>
      <c r="BT53" s="202">
        <f t="shared" si="98"/>
        <v>0</v>
      </c>
      <c r="BU53" s="202">
        <f t="shared" si="98"/>
        <v>0</v>
      </c>
      <c r="BV53" s="202">
        <f t="shared" si="98"/>
        <v>0</v>
      </c>
      <c r="BW53" s="202">
        <f t="shared" si="98"/>
        <v>0</v>
      </c>
      <c r="BX53" s="202">
        <f t="shared" si="98"/>
        <v>0</v>
      </c>
      <c r="BY53" s="202">
        <f t="shared" si="98"/>
        <v>0</v>
      </c>
      <c r="BZ53" s="202">
        <f t="shared" ref="BZ53:EK53" si="100">ROUNDUP($L53*BZ$7,0)</f>
        <v>0</v>
      </c>
      <c r="CA53" s="202">
        <f t="shared" si="100"/>
        <v>0</v>
      </c>
      <c r="CB53" s="202">
        <f t="shared" si="100"/>
        <v>0</v>
      </c>
      <c r="CC53" s="202">
        <f t="shared" si="100"/>
        <v>0</v>
      </c>
      <c r="CD53" s="202">
        <f t="shared" si="100"/>
        <v>0</v>
      </c>
      <c r="CE53" s="202">
        <f t="shared" si="100"/>
        <v>0</v>
      </c>
      <c r="CF53" s="202">
        <f t="shared" si="100"/>
        <v>0</v>
      </c>
      <c r="CG53" s="202">
        <f t="shared" si="100"/>
        <v>0</v>
      </c>
      <c r="CH53" s="202">
        <f t="shared" si="100"/>
        <v>0</v>
      </c>
      <c r="CI53" s="202">
        <f t="shared" si="100"/>
        <v>0</v>
      </c>
      <c r="CJ53" s="202">
        <f t="shared" si="100"/>
        <v>0</v>
      </c>
      <c r="CK53" s="202">
        <f t="shared" si="100"/>
        <v>0</v>
      </c>
      <c r="CL53" s="202">
        <f t="shared" si="100"/>
        <v>0</v>
      </c>
      <c r="CM53" s="202">
        <f t="shared" si="100"/>
        <v>0</v>
      </c>
      <c r="CN53" s="202">
        <f t="shared" si="100"/>
        <v>0</v>
      </c>
      <c r="CO53" s="202">
        <f t="shared" si="100"/>
        <v>0</v>
      </c>
      <c r="CP53" s="202">
        <f t="shared" si="100"/>
        <v>0</v>
      </c>
      <c r="CQ53" s="202">
        <f t="shared" si="100"/>
        <v>0</v>
      </c>
      <c r="CR53" s="202">
        <f t="shared" si="100"/>
        <v>0</v>
      </c>
      <c r="CS53" s="202">
        <f t="shared" si="100"/>
        <v>0</v>
      </c>
      <c r="CT53" s="202">
        <f t="shared" si="100"/>
        <v>0</v>
      </c>
      <c r="CU53" s="202">
        <f t="shared" si="100"/>
        <v>0</v>
      </c>
      <c r="CV53" s="202">
        <f t="shared" si="100"/>
        <v>0</v>
      </c>
      <c r="CW53" s="202">
        <f t="shared" si="100"/>
        <v>0</v>
      </c>
      <c r="CX53" s="202">
        <f t="shared" si="100"/>
        <v>0</v>
      </c>
      <c r="CY53" s="202">
        <f t="shared" si="100"/>
        <v>0</v>
      </c>
      <c r="CZ53" s="202">
        <f t="shared" si="100"/>
        <v>0</v>
      </c>
      <c r="DA53" s="202">
        <f t="shared" si="100"/>
        <v>0</v>
      </c>
      <c r="DB53" s="202">
        <f t="shared" si="100"/>
        <v>0</v>
      </c>
      <c r="DC53" s="202">
        <f t="shared" si="100"/>
        <v>0</v>
      </c>
      <c r="DD53" s="202">
        <f t="shared" si="100"/>
        <v>0</v>
      </c>
      <c r="DE53" s="202">
        <f t="shared" si="100"/>
        <v>0</v>
      </c>
      <c r="DF53" s="202">
        <f t="shared" si="100"/>
        <v>0</v>
      </c>
      <c r="DG53" s="202">
        <f t="shared" si="100"/>
        <v>0</v>
      </c>
      <c r="DH53" s="202">
        <f t="shared" si="100"/>
        <v>0</v>
      </c>
      <c r="DI53" s="202">
        <f t="shared" si="100"/>
        <v>0</v>
      </c>
      <c r="DJ53" s="202">
        <f t="shared" si="100"/>
        <v>0</v>
      </c>
      <c r="DK53" s="202">
        <f t="shared" si="100"/>
        <v>0</v>
      </c>
      <c r="DL53" s="202">
        <f t="shared" si="100"/>
        <v>0</v>
      </c>
      <c r="DM53" s="202">
        <f t="shared" si="100"/>
        <v>0</v>
      </c>
      <c r="DN53" s="202">
        <f t="shared" si="100"/>
        <v>0</v>
      </c>
      <c r="DO53" s="202">
        <f t="shared" si="100"/>
        <v>0</v>
      </c>
      <c r="DP53" s="202">
        <f t="shared" si="100"/>
        <v>0</v>
      </c>
      <c r="DQ53" s="202">
        <f t="shared" si="100"/>
        <v>0</v>
      </c>
      <c r="DR53" s="202">
        <f t="shared" si="100"/>
        <v>0</v>
      </c>
      <c r="DS53" s="202">
        <f t="shared" si="100"/>
        <v>0</v>
      </c>
      <c r="DT53" s="202">
        <f t="shared" si="100"/>
        <v>0</v>
      </c>
      <c r="DU53" s="202">
        <f t="shared" si="100"/>
        <v>0</v>
      </c>
      <c r="DV53" s="202">
        <f t="shared" si="100"/>
        <v>0</v>
      </c>
      <c r="DW53" s="202">
        <f t="shared" si="100"/>
        <v>0</v>
      </c>
      <c r="DX53" s="202">
        <f t="shared" si="100"/>
        <v>0</v>
      </c>
      <c r="DY53" s="202">
        <f t="shared" si="100"/>
        <v>0</v>
      </c>
      <c r="DZ53" s="202">
        <f t="shared" si="100"/>
        <v>0</v>
      </c>
      <c r="EA53" s="202">
        <f t="shared" si="100"/>
        <v>0</v>
      </c>
      <c r="EB53" s="202">
        <f t="shared" si="100"/>
        <v>0</v>
      </c>
      <c r="EC53" s="202">
        <f t="shared" si="100"/>
        <v>0</v>
      </c>
      <c r="ED53" s="202">
        <f t="shared" si="100"/>
        <v>0</v>
      </c>
      <c r="EE53" s="202">
        <f t="shared" si="100"/>
        <v>0</v>
      </c>
      <c r="EF53" s="202">
        <f t="shared" si="100"/>
        <v>0</v>
      </c>
      <c r="EG53" s="202">
        <f t="shared" si="100"/>
        <v>0</v>
      </c>
      <c r="EH53" s="202">
        <f t="shared" si="100"/>
        <v>0</v>
      </c>
      <c r="EI53" s="202">
        <f t="shared" si="100"/>
        <v>0</v>
      </c>
      <c r="EJ53" s="202">
        <f t="shared" si="100"/>
        <v>0</v>
      </c>
      <c r="EK53" s="202">
        <f t="shared" si="100"/>
        <v>0</v>
      </c>
      <c r="EL53" s="202">
        <f t="shared" ref="EL53:FL53" si="101">ROUNDUP($L53*EL$7,0)</f>
        <v>0</v>
      </c>
      <c r="EM53" s="202">
        <f t="shared" si="101"/>
        <v>0</v>
      </c>
      <c r="EN53" s="202">
        <f t="shared" si="101"/>
        <v>0</v>
      </c>
      <c r="EO53" s="202">
        <f t="shared" si="101"/>
        <v>0</v>
      </c>
      <c r="EP53" s="202">
        <f t="shared" si="101"/>
        <v>0</v>
      </c>
      <c r="EQ53" s="202">
        <f t="shared" si="101"/>
        <v>0</v>
      </c>
      <c r="ER53" s="202">
        <f t="shared" si="101"/>
        <v>0</v>
      </c>
      <c r="ES53" s="202">
        <f t="shared" si="101"/>
        <v>0</v>
      </c>
      <c r="ET53" s="202">
        <f t="shared" si="101"/>
        <v>0</v>
      </c>
      <c r="EU53" s="202">
        <f t="shared" si="101"/>
        <v>0</v>
      </c>
      <c r="EV53" s="202">
        <f t="shared" si="101"/>
        <v>0</v>
      </c>
      <c r="EW53" s="202">
        <f t="shared" si="101"/>
        <v>0</v>
      </c>
      <c r="EX53" s="202">
        <f t="shared" si="101"/>
        <v>0</v>
      </c>
      <c r="EY53" s="202">
        <f t="shared" si="101"/>
        <v>0</v>
      </c>
      <c r="EZ53" s="202">
        <f t="shared" si="101"/>
        <v>0</v>
      </c>
      <c r="FA53" s="202">
        <f t="shared" si="101"/>
        <v>0</v>
      </c>
      <c r="FB53" s="202">
        <f t="shared" si="101"/>
        <v>0</v>
      </c>
      <c r="FC53" s="202">
        <f t="shared" si="101"/>
        <v>0</v>
      </c>
      <c r="FD53" s="202">
        <f t="shared" si="101"/>
        <v>0</v>
      </c>
      <c r="FE53" s="202">
        <f t="shared" si="101"/>
        <v>0</v>
      </c>
      <c r="FF53" s="202">
        <f t="shared" si="101"/>
        <v>0</v>
      </c>
      <c r="FG53" s="202">
        <f t="shared" si="101"/>
        <v>0</v>
      </c>
      <c r="FH53" s="202">
        <f t="shared" si="101"/>
        <v>0</v>
      </c>
      <c r="FI53" s="202">
        <f t="shared" si="101"/>
        <v>0</v>
      </c>
      <c r="FJ53" s="202">
        <f t="shared" si="101"/>
        <v>0</v>
      </c>
      <c r="FK53" s="202">
        <f t="shared" si="101"/>
        <v>0</v>
      </c>
      <c r="FL53" s="202">
        <f t="shared" si="101"/>
        <v>0</v>
      </c>
      <c r="FM53" s="202">
        <f>SUM(טבלה15[[#This Row],[1]:[156]])</f>
        <v>0</v>
      </c>
      <c r="FN53" s="447">
        <f>CEILING(טבלה15[[#This Row],[סה"כ]],8)/8</f>
        <v>0</v>
      </c>
      <c r="FO53" s="220" t="str">
        <f>טבלה15[[#This Row],[מוצר]]</f>
        <v>לחמניית צליאק</v>
      </c>
      <c r="FP53" s="220"/>
    </row>
    <row r="54" spans="1:172" ht="16.5" customHeight="1">
      <c r="I54" s="425" t="e">
        <f>SUM(I34:I53)</f>
        <v>#REF!</v>
      </c>
      <c r="AU54" s="190"/>
      <c r="AW54" s="170"/>
    </row>
    <row r="55" spans="1:172" ht="16.5" customHeight="1">
      <c r="I55" s="425" t="e">
        <f>I54/M4</f>
        <v>#REF!</v>
      </c>
      <c r="AW55" s="170"/>
    </row>
    <row r="56" spans="1:172" ht="16.5" customHeight="1">
      <c r="AW56" s="170"/>
    </row>
    <row r="57" spans="1:172" ht="16.5" customHeight="1">
      <c r="AW57" s="170"/>
    </row>
    <row r="58" spans="1:172" ht="16.5" customHeight="1">
      <c r="J58" s="464"/>
      <c r="AW58" s="170"/>
    </row>
    <row r="59" spans="1:172" ht="16.5" customHeight="1">
      <c r="AW59" s="170"/>
    </row>
    <row r="60" spans="1:172" ht="16.5" customHeight="1">
      <c r="AW60" s="170"/>
    </row>
    <row r="61" spans="1:172" ht="16.5" customHeight="1">
      <c r="AW61" s="170"/>
    </row>
    <row r="62" spans="1:172" ht="16.5" customHeight="1">
      <c r="AW62" s="170"/>
    </row>
    <row r="63" spans="1:172" ht="16.5" customHeight="1">
      <c r="AW63" s="170"/>
    </row>
    <row r="64" spans="1:172" ht="16.5" customHeight="1">
      <c r="AW64" s="170"/>
    </row>
    <row r="65" spans="45:49" ht="16.5" customHeight="1">
      <c r="AW65" s="170"/>
    </row>
    <row r="66" spans="45:49" ht="16.5" customHeight="1">
      <c r="AW66" s="170"/>
    </row>
    <row r="67" spans="45:49" ht="16.5" customHeight="1">
      <c r="AW67" s="170"/>
    </row>
    <row r="68" spans="45:49" ht="16.5" customHeight="1">
      <c r="AW68" s="170"/>
    </row>
    <row r="69" spans="45:49" ht="16.5" customHeight="1">
      <c r="AW69" s="170"/>
    </row>
    <row r="70" spans="45:49" ht="16.5" customHeight="1">
      <c r="AW70" s="170"/>
    </row>
    <row r="71" spans="45:49" ht="16.5" customHeight="1">
      <c r="AW71" s="170"/>
    </row>
    <row r="72" spans="45:49" ht="16.5" customHeight="1">
      <c r="AW72" s="170"/>
    </row>
    <row r="73" spans="45:49" ht="16.5" customHeight="1">
      <c r="AW73" s="170"/>
    </row>
    <row r="74" spans="45:49" ht="16.5" customHeight="1">
      <c r="AU74" s="170"/>
      <c r="AW74" s="170"/>
    </row>
    <row r="75" spans="45:49" ht="16.5" customHeight="1">
      <c r="AT75" s="465"/>
      <c r="AU75" s="170"/>
      <c r="AW75" s="170"/>
    </row>
    <row r="76" spans="45:49" ht="16.5" customHeight="1">
      <c r="AT76" s="465"/>
      <c r="AU76" s="170"/>
      <c r="AW76" s="170"/>
    </row>
    <row r="77" spans="45:49" ht="16.5" customHeight="1">
      <c r="AS77" s="465"/>
      <c r="AU77" s="170"/>
      <c r="AW77" s="170"/>
    </row>
    <row r="78" spans="45:49" ht="16.5" customHeight="1">
      <c r="AS78" s="465"/>
      <c r="AU78" s="170"/>
      <c r="AW78" s="170"/>
    </row>
    <row r="79" spans="45:49" ht="16.5" customHeight="1">
      <c r="AU79" s="170"/>
      <c r="AW79" s="170"/>
    </row>
    <row r="80" spans="45:49" ht="16.5" customHeight="1">
      <c r="AU80" s="170"/>
      <c r="AW80" s="170"/>
    </row>
    <row r="81" spans="9:49" ht="16.5" customHeight="1">
      <c r="AU81" s="170"/>
      <c r="AW81" s="170"/>
    </row>
    <row r="82" spans="9:49" ht="16.5" customHeight="1">
      <c r="AU82" s="170"/>
      <c r="AW82" s="170"/>
    </row>
    <row r="83" spans="9:49" ht="16.5" customHeight="1">
      <c r="AU83" s="170"/>
      <c r="AW83" s="170"/>
    </row>
    <row r="84" spans="9:49" ht="16.5" customHeight="1">
      <c r="AU84" s="170"/>
      <c r="AW84" s="170"/>
    </row>
    <row r="85" spans="9:49" ht="16.5" customHeight="1">
      <c r="AU85" s="170"/>
      <c r="AW85" s="170"/>
    </row>
    <row r="86" spans="9:49" ht="16.5" customHeight="1">
      <c r="AU86" s="170"/>
      <c r="AW86" s="170"/>
    </row>
    <row r="87" spans="9:49" ht="16.5" customHeight="1">
      <c r="AU87" s="170"/>
      <c r="AW87" s="170"/>
    </row>
    <row r="88" spans="9:49" ht="16.5" customHeight="1">
      <c r="AU88" s="170"/>
      <c r="AW88" s="170"/>
    </row>
    <row r="89" spans="9:49" ht="16.5" customHeight="1">
      <c r="AU89" s="170"/>
      <c r="AW89" s="170"/>
    </row>
    <row r="90" spans="9:49" ht="16.5" customHeight="1">
      <c r="I90" s="170"/>
      <c r="J90" s="170"/>
      <c r="K90" s="170"/>
      <c r="AU90" s="170"/>
      <c r="AW90" s="170"/>
    </row>
    <row r="91" spans="9:49" ht="16.5" customHeight="1">
      <c r="I91" s="170"/>
      <c r="J91" s="170"/>
      <c r="K91" s="170"/>
      <c r="AU91" s="170"/>
      <c r="AW91" s="170"/>
    </row>
    <row r="92" spans="9:49" ht="16.5" customHeight="1">
      <c r="I92" s="170"/>
      <c r="J92" s="170"/>
      <c r="K92" s="170"/>
      <c r="AU92" s="170"/>
      <c r="AW92" s="170"/>
    </row>
    <row r="93" spans="9:49" ht="16.5" customHeight="1">
      <c r="I93" s="170"/>
      <c r="J93" s="170"/>
      <c r="K93" s="170"/>
      <c r="AU93" s="170"/>
      <c r="AW93" s="170"/>
    </row>
    <row r="94" spans="9:49" ht="16.5" customHeight="1">
      <c r="I94" s="170"/>
      <c r="J94" s="170"/>
      <c r="K94" s="170"/>
      <c r="AU94" s="170"/>
      <c r="AW94" s="170"/>
    </row>
    <row r="95" spans="9:49" ht="16.5" customHeight="1">
      <c r="I95" s="170"/>
      <c r="J95" s="170"/>
      <c r="K95" s="170"/>
      <c r="AU95" s="170"/>
      <c r="AW95" s="170"/>
    </row>
    <row r="96" spans="9:49" ht="16.5" customHeight="1">
      <c r="I96" s="170"/>
      <c r="J96" s="170"/>
      <c r="K96" s="170"/>
      <c r="AU96" s="170"/>
      <c r="AW96" s="170"/>
    </row>
    <row r="97" spans="9:49" ht="16.5" customHeight="1">
      <c r="I97" s="170"/>
      <c r="J97" s="170"/>
      <c r="K97" s="170"/>
      <c r="AU97" s="170"/>
      <c r="AW97" s="170"/>
    </row>
    <row r="98" spans="9:49" ht="16.5" customHeight="1">
      <c r="I98" s="170"/>
      <c r="J98" s="170"/>
      <c r="K98" s="170"/>
      <c r="AU98" s="170"/>
      <c r="AW98" s="170"/>
    </row>
    <row r="99" spans="9:49" ht="16.5" customHeight="1">
      <c r="I99" s="170"/>
      <c r="J99" s="170"/>
      <c r="K99" s="170"/>
      <c r="AU99" s="170"/>
      <c r="AW99" s="170"/>
    </row>
    <row r="100" spans="9:49" ht="16.5" customHeight="1">
      <c r="I100" s="170"/>
      <c r="J100" s="170"/>
      <c r="K100" s="170"/>
      <c r="AU100" s="170"/>
      <c r="AW100" s="170"/>
    </row>
    <row r="101" spans="9:49" ht="16.5" customHeight="1">
      <c r="I101" s="170"/>
      <c r="J101" s="170"/>
      <c r="K101" s="170"/>
      <c r="AU101" s="170"/>
      <c r="AW101" s="170"/>
    </row>
    <row r="102" spans="9:49" ht="16.5" customHeight="1">
      <c r="I102" s="170"/>
      <c r="J102" s="170"/>
      <c r="K102" s="170"/>
      <c r="AU102" s="170"/>
      <c r="AW102" s="170"/>
    </row>
    <row r="103" spans="9:49" ht="16.5" customHeight="1">
      <c r="I103" s="170"/>
      <c r="J103" s="170"/>
      <c r="K103" s="170"/>
      <c r="AU103" s="170"/>
      <c r="AW103" s="170"/>
    </row>
    <row r="104" spans="9:49" ht="16.5" customHeight="1">
      <c r="I104" s="170"/>
      <c r="J104" s="170"/>
      <c r="K104" s="170"/>
      <c r="AU104" s="170"/>
      <c r="AW104" s="170"/>
    </row>
    <row r="105" spans="9:49" ht="16.5" customHeight="1">
      <c r="I105" s="170"/>
      <c r="J105" s="170"/>
      <c r="K105" s="170"/>
      <c r="AU105" s="170"/>
      <c r="AW105" s="170"/>
    </row>
    <row r="106" spans="9:49" ht="16.5" customHeight="1">
      <c r="AU106" s="170"/>
      <c r="AW106" s="170"/>
    </row>
    <row r="107" spans="9:49" ht="16.5" customHeight="1">
      <c r="AU107" s="170"/>
      <c r="AW107" s="170"/>
    </row>
    <row r="108" spans="9:49" ht="16.5" customHeight="1">
      <c r="AU108" s="170"/>
      <c r="AW108" s="170"/>
    </row>
    <row r="109" spans="9:49" ht="16.5" customHeight="1">
      <c r="AU109" s="170"/>
      <c r="AW109" s="170"/>
    </row>
    <row r="110" spans="9:49" ht="16.5" customHeight="1">
      <c r="AU110" s="170"/>
      <c r="AW110" s="170"/>
    </row>
    <row r="111" spans="9:49" ht="16.5" customHeight="1">
      <c r="AU111" s="170"/>
      <c r="AW111" s="170"/>
    </row>
    <row r="112" spans="9:49" ht="16.5" customHeight="1">
      <c r="AU112" s="170"/>
      <c r="AW112" s="170"/>
    </row>
    <row r="113" spans="9:49" ht="16.5" customHeight="1">
      <c r="AU113" s="170"/>
      <c r="AW113" s="170"/>
    </row>
    <row r="114" spans="9:49" ht="16.5" customHeight="1">
      <c r="AU114" s="170"/>
      <c r="AW114" s="170"/>
    </row>
    <row r="115" spans="9:49" ht="16.5" customHeight="1">
      <c r="AU115" s="170"/>
      <c r="AW115" s="170"/>
    </row>
    <row r="116" spans="9:49" ht="16.5" customHeight="1">
      <c r="AU116" s="170"/>
      <c r="AW116" s="170"/>
    </row>
    <row r="117" spans="9:49" ht="16.5" customHeight="1">
      <c r="AU117" s="170"/>
      <c r="AW117" s="170"/>
    </row>
    <row r="118" spans="9:49" ht="16.5" customHeight="1">
      <c r="AU118" s="170"/>
      <c r="AW118" s="170"/>
    </row>
    <row r="119" spans="9:49" ht="16.5" customHeight="1">
      <c r="AU119" s="170"/>
      <c r="AW119" s="170"/>
    </row>
    <row r="120" spans="9:49" ht="16.5" customHeight="1">
      <c r="AU120" s="170"/>
      <c r="AW120" s="170"/>
    </row>
    <row r="121" spans="9:49" ht="16.5" customHeight="1">
      <c r="AU121" s="170"/>
      <c r="AW121" s="170"/>
    </row>
    <row r="122" spans="9:49" ht="16.5" customHeight="1">
      <c r="I122" s="170"/>
      <c r="J122" s="170"/>
      <c r="K122" s="170"/>
      <c r="AU122" s="170"/>
      <c r="AW122" s="170"/>
    </row>
    <row r="123" spans="9:49" ht="16.5" customHeight="1">
      <c r="I123" s="170"/>
      <c r="J123" s="170"/>
      <c r="K123" s="170"/>
      <c r="AU123" s="170"/>
      <c r="AW123" s="170"/>
    </row>
    <row r="124" spans="9:49" ht="16.5" customHeight="1">
      <c r="I124" s="170"/>
      <c r="J124" s="170"/>
      <c r="K124" s="170"/>
      <c r="AU124" s="170"/>
      <c r="AW124" s="170"/>
    </row>
    <row r="125" spans="9:49" ht="16.5" customHeight="1">
      <c r="I125" s="170"/>
      <c r="J125" s="170"/>
      <c r="K125" s="170"/>
      <c r="AU125" s="170"/>
      <c r="AW125" s="170"/>
    </row>
    <row r="126" spans="9:49" ht="16.5" customHeight="1">
      <c r="I126" s="170"/>
      <c r="J126" s="170"/>
      <c r="K126" s="170"/>
      <c r="AU126" s="170"/>
      <c r="AW126" s="170"/>
    </row>
    <row r="127" spans="9:49" ht="16.5" customHeight="1">
      <c r="I127" s="170"/>
      <c r="J127" s="170"/>
      <c r="K127" s="170"/>
      <c r="AU127" s="170"/>
      <c r="AW127" s="170"/>
    </row>
    <row r="128" spans="9:49" ht="16.5" customHeight="1">
      <c r="I128" s="170"/>
      <c r="J128" s="170"/>
      <c r="K128" s="170"/>
      <c r="AU128" s="170"/>
      <c r="AW128" s="170"/>
    </row>
    <row r="129" spans="9:49" ht="16.5" customHeight="1">
      <c r="I129" s="170"/>
      <c r="J129" s="170"/>
      <c r="K129" s="170"/>
      <c r="AU129" s="170"/>
      <c r="AW129" s="170"/>
    </row>
    <row r="130" spans="9:49" ht="16.5" customHeight="1">
      <c r="I130" s="170"/>
      <c r="J130" s="170"/>
      <c r="K130" s="170"/>
      <c r="AU130" s="170"/>
      <c r="AW130" s="170"/>
    </row>
    <row r="131" spans="9:49" ht="16.5" customHeight="1">
      <c r="I131" s="170"/>
      <c r="J131" s="170"/>
      <c r="K131" s="170"/>
      <c r="AU131" s="170"/>
      <c r="AW131" s="170"/>
    </row>
    <row r="132" spans="9:49" ht="16.5" customHeight="1">
      <c r="I132" s="170"/>
      <c r="J132" s="170"/>
      <c r="K132" s="170"/>
      <c r="AU132" s="170"/>
      <c r="AW132" s="170"/>
    </row>
    <row r="133" spans="9:49" ht="16.5" customHeight="1">
      <c r="I133" s="170"/>
      <c r="J133" s="170"/>
      <c r="K133" s="170"/>
      <c r="AU133" s="170"/>
      <c r="AW133" s="170"/>
    </row>
    <row r="134" spans="9:49" ht="16.5" customHeight="1">
      <c r="I134" s="170"/>
      <c r="J134" s="170"/>
      <c r="K134" s="170"/>
      <c r="AU134" s="170"/>
      <c r="AW134" s="170"/>
    </row>
    <row r="135" spans="9:49" ht="16.5" customHeight="1">
      <c r="I135" s="170"/>
      <c r="J135" s="170"/>
      <c r="K135" s="170"/>
      <c r="AU135" s="170"/>
      <c r="AW135" s="170"/>
    </row>
    <row r="136" spans="9:49" ht="16.5" customHeight="1">
      <c r="I136" s="170"/>
      <c r="J136" s="170"/>
      <c r="K136" s="170"/>
      <c r="AU136" s="170"/>
      <c r="AW136" s="170"/>
    </row>
    <row r="137" spans="9:49" ht="16.5" customHeight="1">
      <c r="I137" s="170"/>
      <c r="J137" s="170"/>
      <c r="K137" s="170"/>
      <c r="AU137" s="170"/>
      <c r="AW137" s="170"/>
    </row>
    <row r="138" spans="9:49" ht="16.5" customHeight="1">
      <c r="I138" s="170"/>
      <c r="J138" s="170"/>
      <c r="K138" s="170"/>
      <c r="AU138" s="170"/>
      <c r="AW138" s="170"/>
    </row>
    <row r="139" spans="9:49" ht="16.5" customHeight="1">
      <c r="I139" s="170"/>
      <c r="J139" s="170"/>
      <c r="K139" s="170"/>
      <c r="AU139" s="170"/>
      <c r="AW139" s="170"/>
    </row>
    <row r="140" spans="9:49" ht="16.5" customHeight="1">
      <c r="I140" s="170"/>
      <c r="J140" s="170"/>
      <c r="K140" s="170"/>
      <c r="AU140" s="170"/>
      <c r="AW140" s="170"/>
    </row>
  </sheetData>
  <dataConsolidate/>
  <mergeCells count="6">
    <mergeCell ref="FM29:FP32"/>
    <mergeCell ref="L1:L7"/>
    <mergeCell ref="FM1:FP7"/>
    <mergeCell ref="U1:AB1"/>
    <mergeCell ref="AC1:AJ1"/>
    <mergeCell ref="AK1:AR1"/>
  </mergeCells>
  <dataValidations count="4">
    <dataValidation type="list" allowBlank="1" showInputMessage="1" showErrorMessage="1" sqref="J36">
      <formula1>$FR$26:$FR$27</formula1>
    </dataValidation>
    <dataValidation type="list" allowBlank="1" showInputMessage="1" showErrorMessage="1" sqref="J13">
      <formula1>$FR$19:$FR$20</formula1>
    </dataValidation>
    <dataValidation type="list" allowBlank="1" showInputMessage="1" showErrorMessage="1" sqref="J12">
      <formula1>$FR$14:$FR$15</formula1>
    </dataValidation>
    <dataValidation type="list" allowBlank="1" showInputMessage="1" showErrorMessage="1" sqref="J28 J53">
      <formula1>$FR$17:$FR$18</formula1>
    </dataValidation>
  </dataValidations>
  <pageMargins left="0.7" right="0.7" top="0.75" bottom="0.75" header="0.3" footer="0.3"/>
  <pageSetup scale="61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le______1">
    <pageSetUpPr fitToPage="1"/>
  </sheetPr>
  <dimension ref="C4:P44"/>
  <sheetViews>
    <sheetView rightToLeft="1" topLeftCell="C1" zoomScaleNormal="100" workbookViewId="0">
      <selection activeCell="M32" sqref="M32"/>
    </sheetView>
  </sheetViews>
  <sheetFormatPr defaultColWidth="9" defaultRowHeight="16.5" customHeight="1"/>
  <cols>
    <col min="1" max="2" width="9" style="210"/>
    <col min="3" max="3" width="10.59765625" style="210" bestFit="1" customWidth="1"/>
    <col min="4" max="4" width="11.59765625" style="210" customWidth="1"/>
    <col min="5" max="5" width="11.3984375" style="210" bestFit="1" customWidth="1"/>
    <col min="6" max="6" width="9" style="210"/>
    <col min="7" max="7" width="10.59765625" style="210" customWidth="1"/>
    <col min="8" max="9" width="9.19921875" style="210" bestFit="1" customWidth="1"/>
    <col min="10" max="12" width="9" style="210"/>
    <col min="13" max="13" width="9.59765625" style="265" customWidth="1"/>
    <col min="14" max="14" width="10.3984375" style="265" bestFit="1" customWidth="1"/>
    <col min="15" max="15" width="15.3984375" style="210" customWidth="1"/>
    <col min="16" max="16" width="12" style="210" customWidth="1"/>
    <col min="17" max="16384" width="9" style="210"/>
  </cols>
  <sheetData>
    <row r="4" spans="3:16" ht="16.5" customHeight="1" thickBot="1"/>
    <row r="5" spans="3:16" ht="16.5" customHeight="1" thickBot="1">
      <c r="C5" s="745"/>
      <c r="D5" s="752" t="s">
        <v>879</v>
      </c>
      <c r="E5" s="753"/>
      <c r="F5" s="753"/>
      <c r="G5" s="753"/>
      <c r="H5" s="753"/>
      <c r="I5" s="753"/>
      <c r="J5" s="754"/>
      <c r="M5" s="565" t="s">
        <v>533</v>
      </c>
      <c r="N5" s="251" t="s">
        <v>16</v>
      </c>
      <c r="O5" s="251" t="s">
        <v>59</v>
      </c>
      <c r="P5" s="564" t="s">
        <v>9</v>
      </c>
    </row>
    <row r="6" spans="3:16" ht="16.5" customHeight="1">
      <c r="C6" s="746"/>
      <c r="D6" s="747" t="s">
        <v>880</v>
      </c>
      <c r="E6" s="559" t="s">
        <v>16</v>
      </c>
      <c r="F6" s="560" t="s">
        <v>47</v>
      </c>
      <c r="G6" s="755" t="s">
        <v>10</v>
      </c>
      <c r="H6" s="756"/>
      <c r="I6" s="560" t="s">
        <v>9</v>
      </c>
      <c r="J6" s="561"/>
      <c r="M6" s="326">
        <v>2481</v>
      </c>
      <c r="N6" s="326" t="s">
        <v>905</v>
      </c>
      <c r="O6" s="566" t="s">
        <v>8</v>
      </c>
      <c r="P6" s="234">
        <f>SUMIF($E$7:$E$44,טבלה125[[#This Row],[מוצר]],$I$7:$I$44)</f>
        <v>0</v>
      </c>
    </row>
    <row r="7" spans="3:16" ht="16.5" customHeight="1" thickBot="1">
      <c r="C7" s="746"/>
      <c r="D7" s="748"/>
      <c r="E7" s="257" t="s">
        <v>21</v>
      </c>
      <c r="F7" s="257" t="s">
        <v>8</v>
      </c>
      <c r="G7" s="257" t="s">
        <v>901</v>
      </c>
      <c r="H7" s="239">
        <v>2</v>
      </c>
      <c r="I7" s="239">
        <f t="shared" ref="I7:I13" si="0">H7*$D$14</f>
        <v>0</v>
      </c>
      <c r="J7" s="562"/>
      <c r="M7" s="326">
        <v>6505</v>
      </c>
      <c r="N7" s="326" t="s">
        <v>881</v>
      </c>
      <c r="O7" s="566" t="s">
        <v>8</v>
      </c>
      <c r="P7" s="234">
        <f>SUMIF($E$7:$E$44,טבלה125[[#This Row],[מוצר]],$I$7:$I$44)</f>
        <v>0</v>
      </c>
    </row>
    <row r="8" spans="3:16" ht="16.5" customHeight="1">
      <c r="C8" s="746"/>
      <c r="D8" s="749"/>
      <c r="E8" s="257" t="s">
        <v>882</v>
      </c>
      <c r="F8" s="257" t="s">
        <v>8</v>
      </c>
      <c r="G8" s="257" t="s">
        <v>902</v>
      </c>
      <c r="H8" s="239">
        <v>6</v>
      </c>
      <c r="I8" s="239">
        <f t="shared" si="0"/>
        <v>0</v>
      </c>
      <c r="J8" s="562"/>
      <c r="M8" s="326">
        <v>157</v>
      </c>
      <c r="N8" s="326" t="s">
        <v>21</v>
      </c>
      <c r="O8" s="566" t="s">
        <v>8</v>
      </c>
      <c r="P8" s="234">
        <f>SUMIF($E$7:$E$44,טבלה125[[#This Row],[מוצר]],$I$7:$I$44)</f>
        <v>0</v>
      </c>
    </row>
    <row r="9" spans="3:16" ht="16.5" customHeight="1">
      <c r="C9" s="746"/>
      <c r="D9" s="750"/>
      <c r="E9" s="257" t="s">
        <v>883</v>
      </c>
      <c r="F9" s="257" t="s">
        <v>6</v>
      </c>
      <c r="G9" s="257" t="s">
        <v>903</v>
      </c>
      <c r="H9" s="239">
        <v>3</v>
      </c>
      <c r="I9" s="239">
        <f t="shared" si="0"/>
        <v>0</v>
      </c>
      <c r="J9" s="562"/>
      <c r="M9" s="326">
        <v>185</v>
      </c>
      <c r="N9" s="326" t="s">
        <v>371</v>
      </c>
      <c r="O9" s="566" t="s">
        <v>8</v>
      </c>
      <c r="P9" s="234">
        <f>SUMIF($E$7:$E$44,טבלה125[[#This Row],[מוצר]],$I$7:$I$44)</f>
        <v>0</v>
      </c>
    </row>
    <row r="10" spans="3:16" ht="16.5" customHeight="1">
      <c r="C10" s="746"/>
      <c r="D10" s="750"/>
      <c r="E10" s="257" t="s">
        <v>371</v>
      </c>
      <c r="F10" s="257" t="s">
        <v>6</v>
      </c>
      <c r="G10" s="257" t="s">
        <v>901</v>
      </c>
      <c r="H10" s="239">
        <v>2</v>
      </c>
      <c r="I10" s="239">
        <f t="shared" si="0"/>
        <v>0</v>
      </c>
      <c r="J10" s="562"/>
      <c r="M10" s="326">
        <v>6600</v>
      </c>
      <c r="N10" s="326" t="s">
        <v>106</v>
      </c>
      <c r="O10" s="566" t="s">
        <v>8</v>
      </c>
      <c r="P10" s="234">
        <f>SUMIF($E$7:$E$44,טבלה125[[#This Row],[מוצר]],$I$7:$I$44)</f>
        <v>0</v>
      </c>
    </row>
    <row r="11" spans="3:16" ht="16.5" customHeight="1" thickBot="1">
      <c r="C11" s="746"/>
      <c r="D11" s="751"/>
      <c r="E11" s="257" t="s">
        <v>25</v>
      </c>
      <c r="F11" s="257" t="s">
        <v>24</v>
      </c>
      <c r="G11" s="257" t="s">
        <v>904</v>
      </c>
      <c r="H11" s="239">
        <v>1</v>
      </c>
      <c r="I11" s="239">
        <f t="shared" si="0"/>
        <v>0</v>
      </c>
      <c r="J11" s="562"/>
      <c r="M11" s="326">
        <v>599</v>
      </c>
      <c r="N11" s="326" t="s">
        <v>883</v>
      </c>
      <c r="O11" s="566" t="s">
        <v>6</v>
      </c>
      <c r="P11" s="234">
        <f>SUMIF($E$7:$E$44,טבלה125[[#This Row],[מוצר]],$I$7:$I$44)</f>
        <v>0</v>
      </c>
    </row>
    <row r="12" spans="3:16" ht="16.5" customHeight="1">
      <c r="C12" s="746"/>
      <c r="D12" s="747" t="s">
        <v>623</v>
      </c>
      <c r="E12" s="257" t="s">
        <v>905</v>
      </c>
      <c r="F12" s="257" t="s">
        <v>8</v>
      </c>
      <c r="G12" s="257" t="s">
        <v>906</v>
      </c>
      <c r="H12" s="239">
        <v>1</v>
      </c>
      <c r="I12" s="239">
        <f t="shared" si="0"/>
        <v>0</v>
      </c>
      <c r="J12" s="562"/>
      <c r="M12" s="326">
        <v>6493</v>
      </c>
      <c r="N12" s="326" t="s">
        <v>882</v>
      </c>
      <c r="O12" s="566" t="s">
        <v>8</v>
      </c>
      <c r="P12" s="234">
        <f>SUMIF($E$7:$E$44,טבלה125[[#This Row],[מוצר]],$I$7:$I$44)</f>
        <v>0</v>
      </c>
    </row>
    <row r="13" spans="3:16" ht="16.5" customHeight="1" thickBot="1">
      <c r="C13" s="746"/>
      <c r="D13" s="748"/>
      <c r="E13" s="257" t="s">
        <v>106</v>
      </c>
      <c r="F13" s="257" t="s">
        <v>8</v>
      </c>
      <c r="G13" s="257" t="s">
        <v>906</v>
      </c>
      <c r="H13" s="239">
        <v>1</v>
      </c>
      <c r="I13" s="239">
        <f t="shared" si="0"/>
        <v>0</v>
      </c>
      <c r="J13" s="562"/>
      <c r="M13" s="326">
        <v>660</v>
      </c>
      <c r="N13" s="326" t="s">
        <v>385</v>
      </c>
      <c r="O13" s="566" t="s">
        <v>6</v>
      </c>
      <c r="P13" s="234">
        <f>SUMIF($E$7:$E$44,טבלה125[[#This Row],[מוצר]],$I$7:$I$44)</f>
        <v>0</v>
      </c>
    </row>
    <row r="14" spans="3:16" ht="16.5" customHeight="1">
      <c r="C14" s="746"/>
      <c r="D14" s="749"/>
      <c r="E14" s="257" t="s">
        <v>884</v>
      </c>
      <c r="F14" s="257" t="s">
        <v>6</v>
      </c>
      <c r="G14" s="257" t="s">
        <v>907</v>
      </c>
      <c r="H14" s="239">
        <v>1</v>
      </c>
      <c r="I14" s="239">
        <f>CEILING(H14*$D$8,50)</f>
        <v>0</v>
      </c>
      <c r="J14" s="567"/>
      <c r="M14" s="326">
        <v>6689</v>
      </c>
      <c r="N14" s="326" t="s">
        <v>25</v>
      </c>
      <c r="O14" s="566" t="s">
        <v>6</v>
      </c>
      <c r="P14" s="234">
        <f>SUMIF($E$7:$E$44,טבלה125[[#This Row],[מוצר]],$I$7:$I$44)</f>
        <v>0</v>
      </c>
    </row>
    <row r="15" spans="3:16" ht="16.5" customHeight="1">
      <c r="C15" s="746"/>
      <c r="D15" s="750"/>
      <c r="E15" s="257" t="s">
        <v>514</v>
      </c>
      <c r="F15" s="257" t="s">
        <v>6</v>
      </c>
      <c r="G15" s="257" t="s">
        <v>907</v>
      </c>
      <c r="H15" s="239">
        <v>1</v>
      </c>
      <c r="I15" s="239">
        <f>CEILING(H15*$D$8,100)</f>
        <v>0</v>
      </c>
      <c r="J15" s="567"/>
      <c r="M15" s="326">
        <v>957</v>
      </c>
      <c r="N15" s="326" t="s">
        <v>734</v>
      </c>
      <c r="O15" s="566" t="s">
        <v>8</v>
      </c>
      <c r="P15" s="234">
        <f>SUMIF($E$7:$E$44,טבלה125[[#This Row],[מוצר]],$I$7:$I$44)</f>
        <v>0</v>
      </c>
    </row>
    <row r="16" spans="3:16" ht="16.5" customHeight="1" thickBot="1">
      <c r="C16" s="746"/>
      <c r="D16" s="751"/>
      <c r="E16" s="260"/>
      <c r="F16" s="260"/>
      <c r="G16" s="260"/>
      <c r="H16" s="283"/>
      <c r="I16" s="283"/>
      <c r="J16" s="568"/>
      <c r="M16" s="326"/>
      <c r="N16" s="326"/>
      <c r="O16" s="243"/>
    </row>
    <row r="17" spans="4:16" ht="16.5" customHeight="1">
      <c r="D17" s="563"/>
      <c r="E17" s="277"/>
      <c r="F17" s="277"/>
      <c r="G17" s="277"/>
      <c r="H17" s="419"/>
      <c r="I17" s="419"/>
      <c r="J17" s="419"/>
      <c r="M17" s="326"/>
      <c r="N17" s="326"/>
      <c r="O17" s="243"/>
    </row>
    <row r="18" spans="4:16" ht="16.5" customHeight="1" thickBot="1">
      <c r="D18" s="563"/>
      <c r="E18" s="277"/>
      <c r="F18" s="277"/>
      <c r="G18" s="277"/>
      <c r="H18" s="419"/>
      <c r="I18" s="419"/>
      <c r="J18" s="419"/>
      <c r="M18" s="565" t="s">
        <v>533</v>
      </c>
      <c r="N18" s="251" t="s">
        <v>16</v>
      </c>
      <c r="O18" s="251" t="s">
        <v>59</v>
      </c>
      <c r="P18" s="564" t="s">
        <v>9</v>
      </c>
    </row>
    <row r="19" spans="4:16" ht="16.5" customHeight="1" thickBot="1">
      <c r="D19" s="752" t="s">
        <v>886</v>
      </c>
      <c r="E19" s="753"/>
      <c r="F19" s="753"/>
      <c r="G19" s="753"/>
      <c r="H19" s="753"/>
      <c r="I19" s="753"/>
      <c r="J19" s="754"/>
      <c r="M19" s="413" t="s">
        <v>573</v>
      </c>
      <c r="N19" s="326" t="s">
        <v>884</v>
      </c>
      <c r="O19" s="569" t="s">
        <v>606</v>
      </c>
      <c r="P19" s="235">
        <f>SUMIF($E$7:$E$44,N19,$I$7:$I$44)</f>
        <v>0</v>
      </c>
    </row>
    <row r="20" spans="4:16" ht="16.5" customHeight="1">
      <c r="D20" s="747" t="s">
        <v>880</v>
      </c>
      <c r="E20" s="559" t="s">
        <v>16</v>
      </c>
      <c r="F20" s="560" t="s">
        <v>47</v>
      </c>
      <c r="G20" s="755" t="s">
        <v>10</v>
      </c>
      <c r="H20" s="756"/>
      <c r="I20" s="560" t="s">
        <v>9</v>
      </c>
      <c r="J20" s="561"/>
      <c r="M20" s="413" t="s">
        <v>576</v>
      </c>
      <c r="N20" s="326" t="s">
        <v>514</v>
      </c>
      <c r="O20" s="569" t="s">
        <v>920</v>
      </c>
      <c r="P20" s="235">
        <f>SUMIF($E$7:$E$44,N20,$I$7:$I$44)</f>
        <v>0</v>
      </c>
    </row>
    <row r="21" spans="4:16" ht="16.5" customHeight="1" thickBot="1">
      <c r="D21" s="748"/>
      <c r="E21" s="278" t="s">
        <v>21</v>
      </c>
      <c r="F21" s="257" t="s">
        <v>8</v>
      </c>
      <c r="G21" s="257" t="s">
        <v>901</v>
      </c>
      <c r="H21" s="239">
        <v>2</v>
      </c>
      <c r="I21" s="239">
        <f t="shared" ref="I21:I28" si="1">H21*$D$28</f>
        <v>0</v>
      </c>
      <c r="J21" s="562"/>
      <c r="M21" s="326"/>
      <c r="N21" s="326"/>
      <c r="O21" s="270"/>
    </row>
    <row r="22" spans="4:16" ht="16.5" customHeight="1">
      <c r="D22" s="684"/>
      <c r="E22" s="278" t="s">
        <v>734</v>
      </c>
      <c r="F22" s="257" t="s">
        <v>8</v>
      </c>
      <c r="G22" s="257" t="s">
        <v>902</v>
      </c>
      <c r="H22" s="239">
        <v>6</v>
      </c>
      <c r="I22" s="239">
        <f t="shared" si="1"/>
        <v>0</v>
      </c>
      <c r="J22" s="562"/>
      <c r="O22" s="570"/>
    </row>
    <row r="23" spans="4:16" ht="16.5" customHeight="1">
      <c r="D23" s="685"/>
      <c r="E23" s="278" t="s">
        <v>883</v>
      </c>
      <c r="F23" s="257" t="s">
        <v>6</v>
      </c>
      <c r="G23" s="257" t="s">
        <v>903</v>
      </c>
      <c r="H23" s="239">
        <v>3</v>
      </c>
      <c r="I23" s="239">
        <f t="shared" si="1"/>
        <v>0</v>
      </c>
      <c r="J23" s="562"/>
      <c r="O23" s="570"/>
    </row>
    <row r="24" spans="4:16" ht="16.5" customHeight="1">
      <c r="D24" s="685"/>
      <c r="E24" s="278" t="s">
        <v>371</v>
      </c>
      <c r="F24" s="257" t="s">
        <v>6</v>
      </c>
      <c r="G24" s="257" t="s">
        <v>901</v>
      </c>
      <c r="H24" s="239">
        <v>2</v>
      </c>
      <c r="I24" s="239">
        <f t="shared" si="1"/>
        <v>0</v>
      </c>
      <c r="J24" s="562"/>
      <c r="O24" s="570"/>
    </row>
    <row r="25" spans="4:16" ht="16.5" customHeight="1" thickBot="1">
      <c r="D25" s="686"/>
      <c r="E25" s="278" t="s">
        <v>385</v>
      </c>
      <c r="F25" s="257" t="s">
        <v>6</v>
      </c>
      <c r="G25" s="257" t="s">
        <v>903</v>
      </c>
      <c r="H25" s="239">
        <v>3</v>
      </c>
      <c r="I25" s="239">
        <f t="shared" si="1"/>
        <v>0</v>
      </c>
      <c r="J25" s="562"/>
      <c r="O25" s="570"/>
    </row>
    <row r="26" spans="4:16" ht="16.5" customHeight="1">
      <c r="D26" s="747" t="s">
        <v>623</v>
      </c>
      <c r="E26" s="278" t="s">
        <v>25</v>
      </c>
      <c r="F26" s="257" t="s">
        <v>24</v>
      </c>
      <c r="G26" s="257" t="s">
        <v>904</v>
      </c>
      <c r="H26" s="239">
        <v>1</v>
      </c>
      <c r="I26" s="239">
        <f t="shared" si="1"/>
        <v>0</v>
      </c>
      <c r="J26" s="562"/>
      <c r="O26" s="570"/>
    </row>
    <row r="27" spans="4:16" ht="16.5" customHeight="1" thickBot="1">
      <c r="D27" s="748"/>
      <c r="E27" s="278" t="s">
        <v>905</v>
      </c>
      <c r="F27" s="257" t="s">
        <v>8</v>
      </c>
      <c r="G27" s="257" t="s">
        <v>906</v>
      </c>
      <c r="H27" s="239">
        <v>1</v>
      </c>
      <c r="I27" s="239">
        <f t="shared" si="1"/>
        <v>0</v>
      </c>
      <c r="J27" s="562"/>
      <c r="O27" s="570"/>
    </row>
    <row r="28" spans="4:16" ht="16.5" customHeight="1">
      <c r="D28" s="684"/>
      <c r="E28" s="278" t="s">
        <v>106</v>
      </c>
      <c r="F28" s="257" t="s">
        <v>8</v>
      </c>
      <c r="G28" s="257" t="s">
        <v>906</v>
      </c>
      <c r="H28" s="239">
        <v>1</v>
      </c>
      <c r="I28" s="239">
        <f t="shared" si="1"/>
        <v>0</v>
      </c>
      <c r="J28" s="567"/>
      <c r="O28" s="570"/>
    </row>
    <row r="29" spans="4:16" ht="16.5" customHeight="1">
      <c r="D29" s="685"/>
      <c r="E29" s="278" t="s">
        <v>884</v>
      </c>
      <c r="F29" s="257" t="s">
        <v>6</v>
      </c>
      <c r="G29" s="257" t="s">
        <v>907</v>
      </c>
      <c r="H29" s="239">
        <v>1.1000000000000001</v>
      </c>
      <c r="I29" s="239">
        <f>H29*$D$22</f>
        <v>0</v>
      </c>
      <c r="J29" s="567"/>
      <c r="O29" s="570"/>
    </row>
    <row r="30" spans="4:16" ht="16.5" customHeight="1" thickBot="1">
      <c r="D30" s="686"/>
      <c r="E30" s="282" t="s">
        <v>885</v>
      </c>
      <c r="F30" s="260" t="s">
        <v>6</v>
      </c>
      <c r="G30" s="260" t="s">
        <v>907</v>
      </c>
      <c r="H30" s="283">
        <v>1.1000000000000001</v>
      </c>
      <c r="I30" s="283">
        <f>H30*$D$22</f>
        <v>0</v>
      </c>
      <c r="J30" s="568"/>
      <c r="O30" s="570"/>
    </row>
    <row r="31" spans="4:16" ht="16.5" customHeight="1">
      <c r="O31" s="570"/>
    </row>
    <row r="32" spans="4:16" ht="16.5" customHeight="1" thickBot="1"/>
    <row r="33" spans="4:10" ht="16.5" customHeight="1" thickBot="1">
      <c r="D33" s="752" t="s">
        <v>1015</v>
      </c>
      <c r="E33" s="753"/>
      <c r="F33" s="753"/>
      <c r="G33" s="753"/>
      <c r="H33" s="753"/>
      <c r="I33" s="753"/>
      <c r="J33" s="754"/>
    </row>
    <row r="34" spans="4:10" ht="16.5" customHeight="1">
      <c r="D34" s="747" t="s">
        <v>880</v>
      </c>
      <c r="E34" s="559" t="s">
        <v>16</v>
      </c>
      <c r="F34" s="560" t="s">
        <v>47</v>
      </c>
      <c r="G34" s="755" t="s">
        <v>10</v>
      </c>
      <c r="H34" s="756"/>
      <c r="I34" s="560" t="s">
        <v>9</v>
      </c>
      <c r="J34" s="561"/>
    </row>
    <row r="35" spans="4:10" ht="16.5" customHeight="1" thickBot="1">
      <c r="D35" s="748"/>
      <c r="E35" s="257" t="s">
        <v>21</v>
      </c>
      <c r="F35" s="257" t="s">
        <v>8</v>
      </c>
      <c r="G35" s="257" t="s">
        <v>901</v>
      </c>
      <c r="H35" s="239">
        <v>2</v>
      </c>
      <c r="I35" s="239">
        <f t="shared" ref="I35:I41" si="2">H35*$D$42</f>
        <v>0</v>
      </c>
      <c r="J35" s="562"/>
    </row>
    <row r="36" spans="4:10" ht="16.5" customHeight="1">
      <c r="D36" s="749"/>
      <c r="E36" s="571" t="s">
        <v>881</v>
      </c>
      <c r="F36" s="257" t="s">
        <v>8</v>
      </c>
      <c r="G36" s="257" t="s">
        <v>902</v>
      </c>
      <c r="H36" s="239">
        <v>6</v>
      </c>
      <c r="I36" s="239">
        <f t="shared" si="2"/>
        <v>0</v>
      </c>
      <c r="J36" s="562"/>
    </row>
    <row r="37" spans="4:10" ht="16.5" customHeight="1">
      <c r="D37" s="750"/>
      <c r="E37" s="257" t="s">
        <v>883</v>
      </c>
      <c r="F37" s="257" t="s">
        <v>6</v>
      </c>
      <c r="G37" s="257" t="s">
        <v>903</v>
      </c>
      <c r="H37" s="239">
        <v>3</v>
      </c>
      <c r="I37" s="239">
        <f t="shared" si="2"/>
        <v>0</v>
      </c>
      <c r="J37" s="562"/>
    </row>
    <row r="38" spans="4:10" ht="16.5" customHeight="1">
      <c r="D38" s="750"/>
      <c r="E38" s="257" t="s">
        <v>371</v>
      </c>
      <c r="F38" s="257" t="s">
        <v>6</v>
      </c>
      <c r="G38" s="257" t="s">
        <v>901</v>
      </c>
      <c r="H38" s="239">
        <v>2</v>
      </c>
      <c r="I38" s="239">
        <f t="shared" si="2"/>
        <v>0</v>
      </c>
      <c r="J38" s="562"/>
    </row>
    <row r="39" spans="4:10" ht="16.5" customHeight="1" thickBot="1">
      <c r="D39" s="751"/>
      <c r="E39" s="257" t="s">
        <v>25</v>
      </c>
      <c r="F39" s="257" t="s">
        <v>24</v>
      </c>
      <c r="G39" s="257" t="s">
        <v>904</v>
      </c>
      <c r="H39" s="239">
        <v>1</v>
      </c>
      <c r="I39" s="239">
        <f t="shared" si="2"/>
        <v>0</v>
      </c>
      <c r="J39" s="562"/>
    </row>
    <row r="40" spans="4:10" ht="16.5" customHeight="1">
      <c r="D40" s="747" t="s">
        <v>623</v>
      </c>
      <c r="E40" s="257" t="s">
        <v>905</v>
      </c>
      <c r="F40" s="257" t="s">
        <v>8</v>
      </c>
      <c r="G40" s="257" t="s">
        <v>906</v>
      </c>
      <c r="H40" s="239">
        <v>1</v>
      </c>
      <c r="I40" s="239">
        <f t="shared" si="2"/>
        <v>0</v>
      </c>
      <c r="J40" s="562"/>
    </row>
    <row r="41" spans="4:10" ht="16.5" customHeight="1" thickBot="1">
      <c r="D41" s="748"/>
      <c r="E41" s="257" t="s">
        <v>106</v>
      </c>
      <c r="F41" s="257" t="s">
        <v>8</v>
      </c>
      <c r="G41" s="257" t="s">
        <v>906</v>
      </c>
      <c r="H41" s="239">
        <v>1</v>
      </c>
      <c r="I41" s="239">
        <f t="shared" si="2"/>
        <v>0</v>
      </c>
      <c r="J41" s="562"/>
    </row>
    <row r="42" spans="4:10" ht="16.5" customHeight="1">
      <c r="D42" s="749"/>
      <c r="E42" s="257" t="s">
        <v>884</v>
      </c>
      <c r="F42" s="257" t="s">
        <v>6</v>
      </c>
      <c r="G42" s="257" t="s">
        <v>907</v>
      </c>
      <c r="H42" s="239">
        <v>1.1000000000000001</v>
      </c>
      <c r="I42" s="239">
        <f>H42*$D$36</f>
        <v>0</v>
      </c>
      <c r="J42" s="567"/>
    </row>
    <row r="43" spans="4:10" ht="16.5" customHeight="1">
      <c r="D43" s="750"/>
      <c r="E43" s="257" t="s">
        <v>885</v>
      </c>
      <c r="F43" s="257" t="s">
        <v>6</v>
      </c>
      <c r="G43" s="257" t="s">
        <v>907</v>
      </c>
      <c r="H43" s="239">
        <v>1.1000000000000001</v>
      </c>
      <c r="I43" s="239">
        <f>H43*$D$36</f>
        <v>0</v>
      </c>
      <c r="J43" s="567"/>
    </row>
    <row r="44" spans="4:10" ht="16.5" customHeight="1" thickBot="1">
      <c r="D44" s="751"/>
      <c r="E44" s="260"/>
      <c r="F44" s="260"/>
      <c r="G44" s="260"/>
      <c r="H44" s="283"/>
      <c r="I44" s="283"/>
      <c r="J44" s="568"/>
    </row>
  </sheetData>
  <dataConsolidate function="count">
    <dataRefs count="1">
      <dataRef ref="K25:K47" sheet="מרק" r:id="rId1"/>
    </dataRefs>
  </dataConsolidate>
  <mergeCells count="19">
    <mergeCell ref="D33:J33"/>
    <mergeCell ref="D34:D35"/>
    <mergeCell ref="G34:H34"/>
    <mergeCell ref="D36:D39"/>
    <mergeCell ref="D42:D44"/>
    <mergeCell ref="D40:D41"/>
    <mergeCell ref="C5:C16"/>
    <mergeCell ref="D26:D27"/>
    <mergeCell ref="D28:D30"/>
    <mergeCell ref="D14:D16"/>
    <mergeCell ref="D19:J19"/>
    <mergeCell ref="D20:D21"/>
    <mergeCell ref="G20:H20"/>
    <mergeCell ref="D22:D25"/>
    <mergeCell ref="D5:J5"/>
    <mergeCell ref="D6:D7"/>
    <mergeCell ref="D12:D13"/>
    <mergeCell ref="D8:D11"/>
    <mergeCell ref="G6:H6"/>
  </mergeCells>
  <dataValidations disablePrompts="1" count="1">
    <dataValidation type="list" allowBlank="1" showInputMessage="1" showErrorMessage="1" sqref="E6 E34 E20">
      <formula1>$T$23:$T$28</formula1>
    </dataValidation>
  </dataValidations>
  <pageMargins left="0.25" right="0.25" top="0.75" bottom="0.75" header="0.3" footer="0.3"/>
  <pageSetup paperSize="9" scale="53" orientation="portrait"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B2:N36"/>
  <sheetViews>
    <sheetView rightToLeft="1" workbookViewId="0">
      <selection activeCell="D13" sqref="D13"/>
    </sheetView>
  </sheetViews>
  <sheetFormatPr defaultColWidth="9" defaultRowHeight="16.5" customHeight="1"/>
  <cols>
    <col min="1" max="1" width="9" style="167"/>
    <col min="2" max="2" width="9.3984375" style="167" bestFit="1" customWidth="1"/>
    <col min="3" max="3" width="13.59765625" style="167" customWidth="1"/>
    <col min="4" max="4" width="11.8984375" style="167" bestFit="1" customWidth="1"/>
    <col min="5" max="7" width="9" style="167"/>
    <col min="8" max="8" width="11.59765625" style="167" customWidth="1"/>
    <col min="9" max="9" width="9" style="167"/>
    <col min="10" max="10" width="9" style="372"/>
    <col min="11" max="11" width="11" style="167" bestFit="1" customWidth="1"/>
    <col min="12" max="12" width="16.09765625" style="167" customWidth="1"/>
    <col min="13" max="13" width="13.3984375" style="167" customWidth="1"/>
    <col min="14" max="14" width="9" style="205"/>
    <col min="15" max="16384" width="9" style="167"/>
  </cols>
  <sheetData>
    <row r="2" spans="2:14" ht="16.5" customHeight="1" thickBot="1"/>
    <row r="3" spans="2:14" ht="16.5" customHeight="1" thickBot="1">
      <c r="B3" s="761"/>
      <c r="C3" s="763" t="s">
        <v>550</v>
      </c>
      <c r="D3" s="764"/>
      <c r="E3" s="764"/>
      <c r="F3" s="764"/>
      <c r="G3" s="764"/>
      <c r="H3" s="765"/>
      <c r="J3" s="329" t="s">
        <v>533</v>
      </c>
      <c r="K3" s="248" t="s">
        <v>16</v>
      </c>
      <c r="L3" s="249" t="s">
        <v>59</v>
      </c>
      <c r="M3" s="248" t="s">
        <v>9</v>
      </c>
      <c r="N3" s="167"/>
    </row>
    <row r="4" spans="2:14" ht="16.5" customHeight="1" thickBot="1">
      <c r="B4" s="762"/>
      <c r="C4" s="172" t="s">
        <v>36</v>
      </c>
      <c r="D4" s="173" t="s">
        <v>16</v>
      </c>
      <c r="E4" s="174" t="s">
        <v>47</v>
      </c>
      <c r="F4" s="175" t="s">
        <v>10</v>
      </c>
      <c r="G4" s="174" t="s">
        <v>9</v>
      </c>
      <c r="H4" s="176" t="s">
        <v>42</v>
      </c>
      <c r="J4" s="329">
        <v>8455</v>
      </c>
      <c r="K4" s="193" t="s">
        <v>516</v>
      </c>
      <c r="L4" s="194" t="s">
        <v>6</v>
      </c>
      <c r="M4" s="194">
        <f>SUMIF($D$5:$D$34,טבלה1151718[[#This Row],[מוצר]],$G$5:$G$34)</f>
        <v>0</v>
      </c>
      <c r="N4" s="167"/>
    </row>
    <row r="5" spans="2:14" ht="16.5" customHeight="1">
      <c r="B5" s="762"/>
      <c r="C5" s="757"/>
      <c r="D5" s="177" t="s">
        <v>516</v>
      </c>
      <c r="E5" s="178" t="s">
        <v>6</v>
      </c>
      <c r="F5" s="178">
        <v>20</v>
      </c>
      <c r="G5" s="178">
        <f>ROUNDUP(C5/F5,0)*C11</f>
        <v>0</v>
      </c>
      <c r="H5" s="179"/>
      <c r="J5" s="329">
        <v>2648</v>
      </c>
      <c r="K5" s="193" t="s">
        <v>517</v>
      </c>
      <c r="L5" s="194" t="s">
        <v>6</v>
      </c>
      <c r="M5" s="194">
        <f>SUMIF($D$5:$D$34,טבלה1151718[[#This Row],[מוצר]],$G$5:$G$34)</f>
        <v>0</v>
      </c>
      <c r="N5" s="167"/>
    </row>
    <row r="6" spans="2:14" ht="16.5" customHeight="1" thickBot="1">
      <c r="B6" s="762"/>
      <c r="C6" s="758"/>
      <c r="D6" s="177" t="s">
        <v>517</v>
      </c>
      <c r="E6" s="178" t="s">
        <v>6</v>
      </c>
      <c r="F6" s="178">
        <v>50</v>
      </c>
      <c r="G6" s="178">
        <f>ROUNDUP(C5/F6,0)*C11</f>
        <v>0</v>
      </c>
      <c r="H6" s="179"/>
      <c r="J6" s="329">
        <v>2647</v>
      </c>
      <c r="K6" s="193" t="s">
        <v>518</v>
      </c>
      <c r="L6" s="194" t="s">
        <v>6</v>
      </c>
      <c r="M6" s="194">
        <f>SUMIF($D$5:$D$34,טבלה1151718[[#This Row],[מוצר]],$G$5:$G$34)</f>
        <v>0</v>
      </c>
      <c r="N6" s="167"/>
    </row>
    <row r="7" spans="2:14" ht="16.5" customHeight="1" thickBot="1">
      <c r="B7" s="762"/>
      <c r="C7" s="180" t="s">
        <v>76</v>
      </c>
      <c r="D7" s="177" t="s">
        <v>518</v>
      </c>
      <c r="E7" s="178" t="s">
        <v>6</v>
      </c>
      <c r="F7" s="178">
        <v>40</v>
      </c>
      <c r="G7" s="178">
        <f>ROUNDUP(C8/F7,0)*C11</f>
        <v>0</v>
      </c>
      <c r="H7" s="179"/>
      <c r="J7" s="329">
        <v>6966</v>
      </c>
      <c r="K7" s="193" t="s">
        <v>519</v>
      </c>
      <c r="L7" s="194" t="s">
        <v>6</v>
      </c>
      <c r="M7" s="194">
        <f>SUMIF($D$5:$D$34,טבלה1151718[[#This Row],[מוצר]],$G$5:$G$34)</f>
        <v>0</v>
      </c>
      <c r="N7" s="167"/>
    </row>
    <row r="8" spans="2:14" ht="16.5" customHeight="1">
      <c r="B8" s="762"/>
      <c r="C8" s="759"/>
      <c r="D8" s="177" t="s">
        <v>519</v>
      </c>
      <c r="E8" s="192" t="s">
        <v>6</v>
      </c>
      <c r="F8" s="178">
        <v>100</v>
      </c>
      <c r="G8" s="178">
        <f>ROUNDUP(C5/F8,0)*C11</f>
        <v>0</v>
      </c>
      <c r="H8" s="179"/>
      <c r="J8" s="329">
        <v>8781</v>
      </c>
      <c r="K8" s="193" t="s">
        <v>520</v>
      </c>
      <c r="L8" s="194" t="s">
        <v>6</v>
      </c>
      <c r="M8" s="194">
        <f>SUMIF($D$5:$D$34,טבלה1151718[[#This Row],[מוצר]],$G$5:$G$34)</f>
        <v>0</v>
      </c>
      <c r="N8" s="167"/>
    </row>
    <row r="9" spans="2:14" ht="16.5" customHeight="1" thickBot="1">
      <c r="B9" s="762"/>
      <c r="C9" s="760"/>
      <c r="D9" s="181" t="s">
        <v>520</v>
      </c>
      <c r="E9" s="178" t="s">
        <v>6</v>
      </c>
      <c r="F9" s="182">
        <v>200</v>
      </c>
      <c r="G9" s="178">
        <f>ROUNDUP(C5/F9,0)*C11</f>
        <v>0</v>
      </c>
      <c r="H9" s="183"/>
      <c r="J9" s="329"/>
      <c r="K9" s="184"/>
      <c r="L9" s="194"/>
      <c r="M9" s="194"/>
      <c r="N9" s="322"/>
    </row>
    <row r="10" spans="2:14" ht="16.5" customHeight="1" thickBot="1">
      <c r="B10" s="762"/>
      <c r="C10" s="245" t="s">
        <v>541</v>
      </c>
      <c r="D10" s="185" t="s">
        <v>32</v>
      </c>
      <c r="E10" s="186" t="s">
        <v>6</v>
      </c>
      <c r="F10" s="187">
        <v>10</v>
      </c>
      <c r="G10" s="186">
        <f>CEILING(C5/F10,100)*C11</f>
        <v>0</v>
      </c>
      <c r="H10" s="188"/>
      <c r="K10" s="193"/>
      <c r="L10" s="193"/>
      <c r="M10" s="193"/>
    </row>
    <row r="11" spans="2:14" ht="16.5" customHeight="1">
      <c r="B11" s="762"/>
      <c r="C11" s="759"/>
      <c r="D11" s="766" t="s">
        <v>987</v>
      </c>
      <c r="E11" s="767"/>
      <c r="F11" s="767"/>
      <c r="G11" s="767"/>
      <c r="H11" s="767"/>
      <c r="J11" s="329" t="s">
        <v>533</v>
      </c>
      <c r="K11" s="248" t="s">
        <v>16</v>
      </c>
      <c r="L11" s="249" t="s">
        <v>59</v>
      </c>
      <c r="M11" s="248" t="s">
        <v>9</v>
      </c>
      <c r="N11" s="167"/>
    </row>
    <row r="12" spans="2:14" ht="16.5" customHeight="1" thickBot="1">
      <c r="B12" s="762"/>
      <c r="C12" s="760"/>
      <c r="J12" s="372" t="s">
        <v>574</v>
      </c>
      <c r="K12" s="167" t="s">
        <v>32</v>
      </c>
      <c r="L12" s="167" t="s">
        <v>6</v>
      </c>
      <c r="M12" s="199">
        <f>SUMIF($D$5:$D$34,טבלה23[[#This Row],[מוצר]],$G$5:$G$34)</f>
        <v>0</v>
      </c>
      <c r="N12" s="167"/>
    </row>
    <row r="14" spans="2:14" ht="16.5" customHeight="1" thickBot="1"/>
    <row r="15" spans="2:14" ht="16.5" customHeight="1" thickBot="1">
      <c r="B15" s="762"/>
      <c r="C15" s="763" t="s">
        <v>550</v>
      </c>
      <c r="D15" s="764"/>
      <c r="E15" s="764"/>
      <c r="F15" s="764"/>
      <c r="G15" s="764"/>
      <c r="H15" s="765"/>
    </row>
    <row r="16" spans="2:14" ht="16.5" customHeight="1" thickBot="1">
      <c r="B16" s="762"/>
      <c r="C16" s="172" t="s">
        <v>36</v>
      </c>
      <c r="D16" s="173" t="s">
        <v>16</v>
      </c>
      <c r="E16" s="174" t="s">
        <v>47</v>
      </c>
      <c r="F16" s="175" t="s">
        <v>10</v>
      </c>
      <c r="G16" s="174" t="s">
        <v>9</v>
      </c>
      <c r="H16" s="176" t="s">
        <v>42</v>
      </c>
    </row>
    <row r="17" spans="2:8" ht="16.5" customHeight="1">
      <c r="B17" s="762"/>
      <c r="C17" s="757"/>
      <c r="D17" s="177" t="s">
        <v>516</v>
      </c>
      <c r="E17" s="178" t="s">
        <v>6</v>
      </c>
      <c r="F17" s="178">
        <v>20</v>
      </c>
      <c r="G17" s="178">
        <f>ROUNDUP(C17/F17,0)*C23</f>
        <v>0</v>
      </c>
      <c r="H17" s="179"/>
    </row>
    <row r="18" spans="2:8" ht="16.5" customHeight="1" thickBot="1">
      <c r="B18" s="762"/>
      <c r="C18" s="758"/>
      <c r="D18" s="177" t="s">
        <v>517</v>
      </c>
      <c r="E18" s="178" t="s">
        <v>6</v>
      </c>
      <c r="F18" s="178">
        <v>50</v>
      </c>
      <c r="G18" s="178">
        <f>ROUNDUP(C17/F18,0)*C23</f>
        <v>0</v>
      </c>
      <c r="H18" s="179"/>
    </row>
    <row r="19" spans="2:8" ht="16.5" customHeight="1" thickBot="1">
      <c r="B19" s="762"/>
      <c r="C19" s="180" t="s">
        <v>76</v>
      </c>
      <c r="D19" s="177" t="s">
        <v>518</v>
      </c>
      <c r="E19" s="178" t="s">
        <v>6</v>
      </c>
      <c r="F19" s="178">
        <v>40</v>
      </c>
      <c r="G19" s="178">
        <f>ROUNDUP(C20/F19,0)*C23</f>
        <v>0</v>
      </c>
      <c r="H19" s="179"/>
    </row>
    <row r="20" spans="2:8" ht="16.5" customHeight="1">
      <c r="B20" s="762"/>
      <c r="C20" s="759"/>
      <c r="D20" s="177" t="s">
        <v>519</v>
      </c>
      <c r="E20" s="192" t="s">
        <v>6</v>
      </c>
      <c r="F20" s="178">
        <v>100</v>
      </c>
      <c r="G20" s="178">
        <f>ROUNDUP(C17/F20,0)*C23</f>
        <v>0</v>
      </c>
      <c r="H20" s="179"/>
    </row>
    <row r="21" spans="2:8" ht="16.5" customHeight="1" thickBot="1">
      <c r="B21" s="762"/>
      <c r="C21" s="760"/>
      <c r="D21" s="181" t="s">
        <v>520</v>
      </c>
      <c r="E21" s="178" t="s">
        <v>6</v>
      </c>
      <c r="F21" s="182">
        <v>200</v>
      </c>
      <c r="G21" s="178">
        <f>ROUNDUP(C17/F21,0)*C23</f>
        <v>0</v>
      </c>
      <c r="H21" s="183"/>
    </row>
    <row r="22" spans="2:8" ht="16.5" customHeight="1" thickBot="1">
      <c r="B22" s="762"/>
      <c r="C22" s="245" t="s">
        <v>541</v>
      </c>
      <c r="D22" s="185" t="s">
        <v>32</v>
      </c>
      <c r="E22" s="186" t="s">
        <v>6</v>
      </c>
      <c r="F22" s="187">
        <v>10</v>
      </c>
      <c r="G22" s="186">
        <f>CEILING(C17/F22,100)*C23</f>
        <v>0</v>
      </c>
      <c r="H22" s="188"/>
    </row>
    <row r="23" spans="2:8" ht="16.5" customHeight="1">
      <c r="B23" s="762"/>
      <c r="C23" s="759"/>
    </row>
    <row r="24" spans="2:8" ht="16.5" customHeight="1" thickBot="1">
      <c r="B24" s="762"/>
      <c r="C24" s="760"/>
    </row>
    <row r="26" spans="2:8" ht="16.5" customHeight="1" thickBot="1"/>
    <row r="27" spans="2:8" ht="16.5" customHeight="1" thickBot="1">
      <c r="B27" s="762"/>
      <c r="C27" s="763" t="s">
        <v>550</v>
      </c>
      <c r="D27" s="764"/>
      <c r="E27" s="764"/>
      <c r="F27" s="764"/>
      <c r="G27" s="764"/>
      <c r="H27" s="765"/>
    </row>
    <row r="28" spans="2:8" ht="16.5" customHeight="1" thickBot="1">
      <c r="B28" s="762"/>
      <c r="C28" s="172" t="s">
        <v>36</v>
      </c>
      <c r="D28" s="173" t="s">
        <v>16</v>
      </c>
      <c r="E28" s="174" t="s">
        <v>47</v>
      </c>
      <c r="F28" s="175" t="s">
        <v>10</v>
      </c>
      <c r="G28" s="174" t="s">
        <v>9</v>
      </c>
      <c r="H28" s="176" t="s">
        <v>42</v>
      </c>
    </row>
    <row r="29" spans="2:8" ht="16.5" customHeight="1">
      <c r="B29" s="762"/>
      <c r="C29" s="757"/>
      <c r="D29" s="177" t="s">
        <v>516</v>
      </c>
      <c r="E29" s="178" t="s">
        <v>6</v>
      </c>
      <c r="F29" s="178">
        <v>20</v>
      </c>
      <c r="G29" s="178">
        <f>ROUNDUP(C29/F29,0)*C35</f>
        <v>0</v>
      </c>
      <c r="H29" s="179"/>
    </row>
    <row r="30" spans="2:8" ht="16.5" customHeight="1" thickBot="1">
      <c r="B30" s="762"/>
      <c r="C30" s="758"/>
      <c r="D30" s="177" t="s">
        <v>517</v>
      </c>
      <c r="E30" s="178" t="s">
        <v>6</v>
      </c>
      <c r="F30" s="178">
        <v>50</v>
      </c>
      <c r="G30" s="178">
        <f>ROUNDUP(C29/F30,0)*C35</f>
        <v>0</v>
      </c>
      <c r="H30" s="179"/>
    </row>
    <row r="31" spans="2:8" ht="16.5" customHeight="1" thickBot="1">
      <c r="B31" s="762"/>
      <c r="C31" s="180" t="s">
        <v>76</v>
      </c>
      <c r="D31" s="177" t="s">
        <v>518</v>
      </c>
      <c r="E31" s="178" t="s">
        <v>6</v>
      </c>
      <c r="F31" s="178">
        <v>40</v>
      </c>
      <c r="G31" s="178">
        <f>ROUNDUP(C32/F31,0)*C35</f>
        <v>0</v>
      </c>
      <c r="H31" s="179"/>
    </row>
    <row r="32" spans="2:8" ht="16.5" customHeight="1">
      <c r="B32" s="762"/>
      <c r="C32" s="759"/>
      <c r="D32" s="177" t="s">
        <v>519</v>
      </c>
      <c r="E32" s="192" t="s">
        <v>6</v>
      </c>
      <c r="F32" s="178">
        <v>100</v>
      </c>
      <c r="G32" s="178">
        <f>ROUNDUP(C29/F32,0)*C35</f>
        <v>0</v>
      </c>
      <c r="H32" s="179"/>
    </row>
    <row r="33" spans="2:8" ht="16.5" customHeight="1" thickBot="1">
      <c r="B33" s="762"/>
      <c r="C33" s="760"/>
      <c r="D33" s="181" t="s">
        <v>520</v>
      </c>
      <c r="E33" s="178" t="s">
        <v>6</v>
      </c>
      <c r="F33" s="182">
        <v>200</v>
      </c>
      <c r="G33" s="178">
        <f>ROUNDUP(C29/F33,0)*C35</f>
        <v>0</v>
      </c>
      <c r="H33" s="183"/>
    </row>
    <row r="34" spans="2:8" ht="16.5" customHeight="1" thickBot="1">
      <c r="B34" s="762"/>
      <c r="C34" s="245" t="s">
        <v>541</v>
      </c>
      <c r="D34" s="185" t="s">
        <v>32</v>
      </c>
      <c r="E34" s="186" t="s">
        <v>6</v>
      </c>
      <c r="F34" s="187">
        <v>10</v>
      </c>
      <c r="G34" s="186">
        <f>CEILING(C29/F34,100)*C35</f>
        <v>0</v>
      </c>
      <c r="H34" s="188"/>
    </row>
    <row r="35" spans="2:8" ht="16.5" customHeight="1">
      <c r="B35" s="762"/>
      <c r="C35" s="759"/>
    </row>
    <row r="36" spans="2:8" ht="16.5" customHeight="1" thickBot="1">
      <c r="B36" s="762"/>
      <c r="C36" s="760"/>
    </row>
  </sheetData>
  <mergeCells count="16">
    <mergeCell ref="B27:B36"/>
    <mergeCell ref="C27:H27"/>
    <mergeCell ref="C29:C30"/>
    <mergeCell ref="C32:C33"/>
    <mergeCell ref="C35:C36"/>
    <mergeCell ref="C17:C18"/>
    <mergeCell ref="C20:C21"/>
    <mergeCell ref="C23:C24"/>
    <mergeCell ref="B3:B12"/>
    <mergeCell ref="B15:B24"/>
    <mergeCell ref="C3:H3"/>
    <mergeCell ref="C5:C6"/>
    <mergeCell ref="C11:C12"/>
    <mergeCell ref="C8:C9"/>
    <mergeCell ref="C15:H15"/>
    <mergeCell ref="D11:H1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105"/>
  <sheetViews>
    <sheetView rightToLeft="1" zoomScaleNormal="100" workbookViewId="0">
      <selection activeCell="J11" sqref="J11"/>
    </sheetView>
  </sheetViews>
  <sheetFormatPr defaultColWidth="9.09765625" defaultRowHeight="16.5" customHeight="1"/>
  <cols>
    <col min="1" max="1" width="16.8984375" style="170" bestFit="1" customWidth="1"/>
    <col min="2" max="2" width="10.19921875" style="170" customWidth="1"/>
    <col min="3" max="3" width="8.8984375" style="170" hidden="1" customWidth="1"/>
    <col min="4" max="4" width="9.3984375" style="170" hidden="1" customWidth="1"/>
    <col min="5" max="5" width="9.09765625" style="170" hidden="1" customWidth="1"/>
    <col min="6" max="7" width="9.69921875" style="170" hidden="1" customWidth="1"/>
    <col min="8" max="8" width="12.59765625" style="425" hidden="1" customWidth="1"/>
    <col min="9" max="9" width="20.3984375" style="363" bestFit="1" customWidth="1"/>
    <col min="10" max="10" width="24.09765625" style="236" bestFit="1" customWidth="1"/>
    <col min="11" max="11" width="8.3984375" style="438" customWidth="1"/>
    <col min="12" max="18" width="6.59765625" style="190" customWidth="1"/>
    <col min="19" max="19" width="6.59765625" style="236" customWidth="1"/>
    <col min="20" max="20" width="6.59765625" style="190" customWidth="1"/>
    <col min="21" max="21" width="6.59765625" style="466" customWidth="1"/>
    <col min="22" max="35" width="6.59765625" style="170" hidden="1" customWidth="1"/>
    <col min="36" max="36" width="6.59765625" style="170" customWidth="1"/>
    <col min="37" max="37" width="8.59765625" style="170" customWidth="1"/>
    <col min="38" max="38" width="8" style="170" customWidth="1"/>
    <col min="39" max="39" width="9.3984375" style="170" customWidth="1"/>
    <col min="40" max="51" width="6.59765625" style="170" customWidth="1"/>
    <col min="52" max="16384" width="9.09765625" style="170"/>
  </cols>
  <sheetData>
    <row r="2" spans="1:54" ht="15.6">
      <c r="I2" s="770"/>
      <c r="J2" s="768" t="s">
        <v>630</v>
      </c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769"/>
      <c r="AJ2" s="769"/>
      <c r="AK2" s="769"/>
      <c r="AL2" s="769"/>
      <c r="AM2" s="769"/>
      <c r="AN2" s="769"/>
    </row>
    <row r="3" spans="1:54" ht="16.5" customHeight="1">
      <c r="A3" s="426"/>
      <c r="B3" s="426"/>
      <c r="C3" s="426"/>
      <c r="D3" s="426"/>
      <c r="E3" s="426"/>
      <c r="F3" s="426"/>
      <c r="G3" s="426"/>
      <c r="H3" s="427"/>
      <c r="I3" s="771"/>
      <c r="J3" s="429" t="s">
        <v>175</v>
      </c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8"/>
      <c r="BA3" s="190"/>
      <c r="BB3" s="466"/>
    </row>
    <row r="4" spans="1:54" ht="14.4">
      <c r="A4" s="426"/>
      <c r="B4" s="426"/>
      <c r="C4" s="426"/>
      <c r="D4" s="426"/>
      <c r="E4" s="426"/>
      <c r="F4" s="426"/>
      <c r="G4" s="426"/>
      <c r="H4" s="427"/>
      <c r="I4" s="771"/>
      <c r="J4" s="429" t="s">
        <v>445</v>
      </c>
      <c r="K4" s="430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3"/>
      <c r="AH4" s="433"/>
      <c r="AI4" s="433"/>
      <c r="AJ4" s="433"/>
      <c r="AK4" s="433"/>
      <c r="AL4" s="433"/>
      <c r="AM4" s="433"/>
      <c r="AN4" s="429"/>
      <c r="AO4" s="190"/>
      <c r="AP4" s="466"/>
    </row>
    <row r="5" spans="1:54" ht="16.5" customHeight="1">
      <c r="A5" s="426"/>
      <c r="B5" s="426"/>
      <c r="C5" s="426"/>
      <c r="D5" s="426"/>
      <c r="E5" s="426"/>
      <c r="F5" s="426"/>
      <c r="G5" s="426"/>
      <c r="H5" s="427"/>
      <c r="I5" s="771"/>
      <c r="J5" s="429" t="s">
        <v>174</v>
      </c>
      <c r="K5" s="430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0"/>
      <c r="W5" s="430"/>
      <c r="X5" s="430"/>
      <c r="Y5" s="430"/>
      <c r="Z5" s="430"/>
      <c r="AA5" s="430"/>
      <c r="AB5" s="430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29"/>
      <c r="AO5" s="190"/>
      <c r="AP5" s="466"/>
    </row>
    <row r="6" spans="1:54" ht="16.5" customHeight="1">
      <c r="A6" s="426"/>
      <c r="B6" s="426"/>
      <c r="C6" s="426"/>
      <c r="D6" s="426"/>
      <c r="E6" s="426"/>
      <c r="F6" s="426"/>
      <c r="G6" s="426"/>
      <c r="H6" s="427"/>
      <c r="I6" s="771"/>
      <c r="J6" s="429" t="s">
        <v>444</v>
      </c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29">
        <f>SUM(X6:AM6)</f>
        <v>0</v>
      </c>
      <c r="AO6" s="190"/>
      <c r="AP6" s="466"/>
    </row>
    <row r="7" spans="1:54" ht="16.5" customHeight="1">
      <c r="A7" s="426"/>
      <c r="B7" s="426"/>
      <c r="C7" s="426"/>
      <c r="D7" s="426"/>
      <c r="E7" s="426"/>
      <c r="F7" s="426"/>
      <c r="G7" s="426"/>
      <c r="H7" s="435"/>
      <c r="I7" s="771"/>
      <c r="J7" s="429" t="s">
        <v>506</v>
      </c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29">
        <f>SUM(X7:AM7)</f>
        <v>0</v>
      </c>
      <c r="AO7" s="190"/>
      <c r="AP7" s="466"/>
    </row>
    <row r="8" spans="1:54" ht="16.5" customHeight="1">
      <c r="A8" s="426"/>
      <c r="B8" s="426"/>
      <c r="C8" s="426"/>
      <c r="D8" s="426"/>
      <c r="E8" s="426"/>
      <c r="F8" s="426"/>
      <c r="G8" s="426"/>
      <c r="H8" s="427"/>
      <c r="I8" s="771"/>
      <c r="J8" s="429" t="s">
        <v>173</v>
      </c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29">
        <f>SUM(X8:AM8)</f>
        <v>0</v>
      </c>
      <c r="AO8" s="190"/>
      <c r="AP8" s="466"/>
    </row>
    <row r="9" spans="1:54" ht="16.5" customHeight="1">
      <c r="A9" s="434"/>
      <c r="B9" s="434"/>
      <c r="C9" s="434"/>
      <c r="D9" s="434"/>
      <c r="E9" s="434"/>
      <c r="F9" s="434"/>
      <c r="G9" s="434"/>
      <c r="H9" s="435"/>
      <c r="I9" s="771"/>
      <c r="J9" s="429" t="s">
        <v>77</v>
      </c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29">
        <f>SUM(X9:AM9)</f>
        <v>0</v>
      </c>
      <c r="AO9" s="190"/>
      <c r="AP9" s="466"/>
    </row>
    <row r="10" spans="1:54" s="438" customFormat="1" ht="16.5" customHeight="1">
      <c r="A10" s="436" t="s">
        <v>172</v>
      </c>
      <c r="B10" s="436" t="s">
        <v>179</v>
      </c>
      <c r="C10" s="436" t="s">
        <v>568</v>
      </c>
      <c r="D10" s="436" t="s">
        <v>632</v>
      </c>
      <c r="E10" s="436" t="s">
        <v>618</v>
      </c>
      <c r="F10" s="436" t="s">
        <v>621</v>
      </c>
      <c r="G10" s="436" t="s">
        <v>622</v>
      </c>
      <c r="H10" s="437" t="s">
        <v>633</v>
      </c>
      <c r="I10" s="436" t="s">
        <v>16</v>
      </c>
      <c r="J10" s="469" t="s">
        <v>10</v>
      </c>
      <c r="K10" s="436" t="s">
        <v>634</v>
      </c>
      <c r="L10" s="436" t="s">
        <v>635</v>
      </c>
      <c r="M10" s="436" t="s">
        <v>636</v>
      </c>
      <c r="N10" s="436" t="s">
        <v>637</v>
      </c>
      <c r="O10" s="436" t="s">
        <v>638</v>
      </c>
      <c r="P10" s="436" t="s">
        <v>639</v>
      </c>
      <c r="Q10" s="436" t="s">
        <v>640</v>
      </c>
      <c r="R10" s="436" t="s">
        <v>641</v>
      </c>
      <c r="S10" s="436" t="s">
        <v>642</v>
      </c>
      <c r="T10" s="436" t="s">
        <v>643</v>
      </c>
      <c r="U10" s="436" t="s">
        <v>644</v>
      </c>
      <c r="V10" s="436" t="s">
        <v>645</v>
      </c>
      <c r="W10" s="436" t="s">
        <v>646</v>
      </c>
      <c r="X10" s="436" t="s">
        <v>647</v>
      </c>
      <c r="Y10" s="436" t="s">
        <v>648</v>
      </c>
      <c r="Z10" s="436" t="s">
        <v>649</v>
      </c>
      <c r="AA10" s="436" t="s">
        <v>650</v>
      </c>
      <c r="AB10" s="436" t="s">
        <v>651</v>
      </c>
      <c r="AC10" s="436" t="s">
        <v>652</v>
      </c>
      <c r="AD10" s="436" t="s">
        <v>653</v>
      </c>
      <c r="AE10" s="436" t="s">
        <v>654</v>
      </c>
      <c r="AF10" s="436" t="s">
        <v>655</v>
      </c>
      <c r="AG10" s="436" t="s">
        <v>656</v>
      </c>
      <c r="AH10" s="436" t="s">
        <v>657</v>
      </c>
      <c r="AI10" s="436" t="s">
        <v>658</v>
      </c>
      <c r="AJ10" s="436" t="s">
        <v>659</v>
      </c>
      <c r="AK10" s="436" t="s">
        <v>660</v>
      </c>
      <c r="AL10" s="436" t="s">
        <v>661</v>
      </c>
      <c r="AM10" s="436" t="s">
        <v>22</v>
      </c>
      <c r="AN10" s="436" t="s">
        <v>667</v>
      </c>
      <c r="AP10" s="470"/>
    </row>
    <row r="11" spans="1:54" ht="16.5" customHeight="1">
      <c r="A11" s="440" t="s">
        <v>714</v>
      </c>
      <c r="B11" s="440">
        <v>2133</v>
      </c>
      <c r="C11" s="427" t="e">
        <f>SUMIF([2]!טבלה6[קוד מוצר],B11,[2]!טבלה6[מחיר לקוח])</f>
        <v>#REF!</v>
      </c>
      <c r="D11" s="440">
        <v>1</v>
      </c>
      <c r="E11" s="427" t="e">
        <f>C11/D11</f>
        <v>#REF!</v>
      </c>
      <c r="F11" s="441">
        <v>0.17</v>
      </c>
      <c r="G11" s="442" t="e">
        <f>E11*F11</f>
        <v>#REF!</v>
      </c>
      <c r="H11" s="443" t="e">
        <f>(G11+E11)*#REF!</f>
        <v>#REF!</v>
      </c>
      <c r="I11" s="440" t="s">
        <v>27</v>
      </c>
      <c r="J11" s="444" t="s">
        <v>715</v>
      </c>
      <c r="K11" s="445">
        <f>1/5</f>
        <v>0.2</v>
      </c>
      <c r="L11" s="446">
        <f t="shared" ref="L11:U19" si="0">ROUNDUP($K11*L$6,0)</f>
        <v>0</v>
      </c>
      <c r="M11" s="446">
        <f t="shared" si="0"/>
        <v>0</v>
      </c>
      <c r="N11" s="446">
        <f t="shared" si="0"/>
        <v>0</v>
      </c>
      <c r="O11" s="446">
        <f t="shared" si="0"/>
        <v>0</v>
      </c>
      <c r="P11" s="446">
        <f t="shared" si="0"/>
        <v>0</v>
      </c>
      <c r="Q11" s="446">
        <f t="shared" si="0"/>
        <v>0</v>
      </c>
      <c r="R11" s="446">
        <f t="shared" si="0"/>
        <v>0</v>
      </c>
      <c r="S11" s="446">
        <f t="shared" si="0"/>
        <v>0</v>
      </c>
      <c r="T11" s="446">
        <f t="shared" si="0"/>
        <v>0</v>
      </c>
      <c r="U11" s="446">
        <f t="shared" si="0"/>
        <v>0</v>
      </c>
      <c r="V11" s="446">
        <f t="shared" ref="V11:AE19" si="1">ROUNDUP($K11*V$6,0)</f>
        <v>0</v>
      </c>
      <c r="W11" s="446">
        <f t="shared" si="1"/>
        <v>0</v>
      </c>
      <c r="X11" s="446">
        <f t="shared" si="1"/>
        <v>0</v>
      </c>
      <c r="Y11" s="446">
        <f t="shared" si="1"/>
        <v>0</v>
      </c>
      <c r="Z11" s="446">
        <f t="shared" si="1"/>
        <v>0</v>
      </c>
      <c r="AA11" s="446">
        <f t="shared" si="1"/>
        <v>0</v>
      </c>
      <c r="AB11" s="446">
        <f t="shared" si="1"/>
        <v>0</v>
      </c>
      <c r="AC11" s="446">
        <f t="shared" si="1"/>
        <v>0</v>
      </c>
      <c r="AD11" s="446">
        <f t="shared" si="1"/>
        <v>0</v>
      </c>
      <c r="AE11" s="446">
        <f t="shared" si="1"/>
        <v>0</v>
      </c>
      <c r="AF11" s="446">
        <f t="shared" ref="AF11:AL19" si="2">ROUNDUP($K11*AF$6,0)</f>
        <v>0</v>
      </c>
      <c r="AG11" s="446">
        <f t="shared" si="2"/>
        <v>0</v>
      </c>
      <c r="AH11" s="446">
        <f t="shared" si="2"/>
        <v>0</v>
      </c>
      <c r="AI11" s="446">
        <f t="shared" si="2"/>
        <v>0</v>
      </c>
      <c r="AJ11" s="446">
        <f t="shared" si="2"/>
        <v>0</v>
      </c>
      <c r="AK11" s="446">
        <f t="shared" si="2"/>
        <v>0</v>
      </c>
      <c r="AL11" s="446">
        <f t="shared" si="2"/>
        <v>0</v>
      </c>
      <c r="AM11" s="446">
        <f>SUM(טבלה17[[#This Row],[1]:[27]])</f>
        <v>0</v>
      </c>
      <c r="AN11" s="447">
        <f>טבלה17[[#This Row],[סה"כ]]</f>
        <v>0</v>
      </c>
      <c r="AO11" s="190"/>
      <c r="AP11" s="466"/>
    </row>
    <row r="12" spans="1:54" s="219" customFormat="1" ht="16.5" customHeight="1">
      <c r="A12" s="440" t="s">
        <v>714</v>
      </c>
      <c r="B12" s="440">
        <v>3989</v>
      </c>
      <c r="C12" s="427" t="e">
        <f>SUMIF([2]!טבלה6[קוד מוצר],B12,[2]!טבלה6[מחיר לקוח])</f>
        <v>#REF!</v>
      </c>
      <c r="D12" s="440">
        <v>1000</v>
      </c>
      <c r="E12" s="427" t="e">
        <f t="shared" ref="E12:E69" si="3">C12/D12</f>
        <v>#REF!</v>
      </c>
      <c r="F12" s="441">
        <v>0.17</v>
      </c>
      <c r="G12" s="442" t="e">
        <f t="shared" ref="G12:G69" si="4">E12*F12</f>
        <v>#REF!</v>
      </c>
      <c r="H12" s="443" t="e">
        <f>(G12+E12)*#REF!</f>
        <v>#REF!</v>
      </c>
      <c r="I12" s="440" t="s">
        <v>716</v>
      </c>
      <c r="J12" s="444" t="s">
        <v>717</v>
      </c>
      <c r="K12" s="450">
        <v>125</v>
      </c>
      <c r="L12" s="446">
        <f t="shared" si="0"/>
        <v>0</v>
      </c>
      <c r="M12" s="446">
        <f t="shared" si="0"/>
        <v>0</v>
      </c>
      <c r="N12" s="446">
        <f t="shared" si="0"/>
        <v>0</v>
      </c>
      <c r="O12" s="446">
        <f t="shared" si="0"/>
        <v>0</v>
      </c>
      <c r="P12" s="446">
        <f t="shared" si="0"/>
        <v>0</v>
      </c>
      <c r="Q12" s="446">
        <f t="shared" si="0"/>
        <v>0</v>
      </c>
      <c r="R12" s="446">
        <f t="shared" si="0"/>
        <v>0</v>
      </c>
      <c r="S12" s="446">
        <f t="shared" si="0"/>
        <v>0</v>
      </c>
      <c r="T12" s="446">
        <f t="shared" si="0"/>
        <v>0</v>
      </c>
      <c r="U12" s="446">
        <f t="shared" si="0"/>
        <v>0</v>
      </c>
      <c r="V12" s="446">
        <f t="shared" si="1"/>
        <v>0</v>
      </c>
      <c r="W12" s="446">
        <f t="shared" si="1"/>
        <v>0</v>
      </c>
      <c r="X12" s="446">
        <f t="shared" si="1"/>
        <v>0</v>
      </c>
      <c r="Y12" s="446">
        <f t="shared" si="1"/>
        <v>0</v>
      </c>
      <c r="Z12" s="446">
        <f t="shared" si="1"/>
        <v>0</v>
      </c>
      <c r="AA12" s="446">
        <f t="shared" si="1"/>
        <v>0</v>
      </c>
      <c r="AB12" s="446">
        <f t="shared" si="1"/>
        <v>0</v>
      </c>
      <c r="AC12" s="446">
        <f t="shared" si="1"/>
        <v>0</v>
      </c>
      <c r="AD12" s="446">
        <f t="shared" si="1"/>
        <v>0</v>
      </c>
      <c r="AE12" s="446">
        <f t="shared" si="1"/>
        <v>0</v>
      </c>
      <c r="AF12" s="446">
        <f t="shared" si="2"/>
        <v>0</v>
      </c>
      <c r="AG12" s="446">
        <f t="shared" si="2"/>
        <v>0</v>
      </c>
      <c r="AH12" s="446">
        <f t="shared" si="2"/>
        <v>0</v>
      </c>
      <c r="AI12" s="446">
        <f t="shared" si="2"/>
        <v>0</v>
      </c>
      <c r="AJ12" s="446">
        <f t="shared" si="2"/>
        <v>0</v>
      </c>
      <c r="AK12" s="446">
        <f t="shared" si="2"/>
        <v>0</v>
      </c>
      <c r="AL12" s="446">
        <f t="shared" si="2"/>
        <v>0</v>
      </c>
      <c r="AM12" s="446">
        <f>SUM(טבלה17[[#This Row],[1]:[27]])</f>
        <v>0</v>
      </c>
      <c r="AN12" s="447">
        <f>CEILING(טבלה17[[#This Row],[סה"כ]],700)/700</f>
        <v>0</v>
      </c>
      <c r="AO12" s="220"/>
      <c r="AP12" s="471"/>
    </row>
    <row r="13" spans="1:54" ht="16.5" customHeight="1">
      <c r="A13" s="440" t="s">
        <v>714</v>
      </c>
      <c r="B13" s="440">
        <v>3</v>
      </c>
      <c r="C13" s="427" t="e">
        <f>SUMIF([2]!טבלה6[קוד מוצר],B13,[2]!טבלה6[מחיר לקוח])</f>
        <v>#REF!</v>
      </c>
      <c r="D13" s="440">
        <v>1</v>
      </c>
      <c r="E13" s="427" t="e">
        <f t="shared" si="3"/>
        <v>#REF!</v>
      </c>
      <c r="F13" s="441">
        <v>0</v>
      </c>
      <c r="G13" s="442" t="e">
        <f t="shared" si="4"/>
        <v>#REF!</v>
      </c>
      <c r="H13" s="443" t="e">
        <f>(G13+E13)*#REF!</f>
        <v>#REF!</v>
      </c>
      <c r="I13" s="440" t="s">
        <v>2</v>
      </c>
      <c r="J13" s="444" t="s">
        <v>710</v>
      </c>
      <c r="K13" s="445">
        <f>1/3</f>
        <v>0.33333333333333331</v>
      </c>
      <c r="L13" s="446">
        <f t="shared" si="0"/>
        <v>0</v>
      </c>
      <c r="M13" s="446">
        <f t="shared" si="0"/>
        <v>0</v>
      </c>
      <c r="N13" s="446">
        <f t="shared" si="0"/>
        <v>0</v>
      </c>
      <c r="O13" s="446">
        <f t="shared" si="0"/>
        <v>0</v>
      </c>
      <c r="P13" s="446">
        <f t="shared" si="0"/>
        <v>0</v>
      </c>
      <c r="Q13" s="446">
        <f t="shared" si="0"/>
        <v>0</v>
      </c>
      <c r="R13" s="446">
        <f t="shared" si="0"/>
        <v>0</v>
      </c>
      <c r="S13" s="446">
        <f t="shared" si="0"/>
        <v>0</v>
      </c>
      <c r="T13" s="446">
        <f t="shared" si="0"/>
        <v>0</v>
      </c>
      <c r="U13" s="446">
        <f t="shared" si="0"/>
        <v>0</v>
      </c>
      <c r="V13" s="446">
        <f t="shared" si="1"/>
        <v>0</v>
      </c>
      <c r="W13" s="446">
        <f t="shared" si="1"/>
        <v>0</v>
      </c>
      <c r="X13" s="446">
        <f t="shared" si="1"/>
        <v>0</v>
      </c>
      <c r="Y13" s="446">
        <f t="shared" si="1"/>
        <v>0</v>
      </c>
      <c r="Z13" s="446">
        <f t="shared" si="1"/>
        <v>0</v>
      </c>
      <c r="AA13" s="446">
        <f t="shared" si="1"/>
        <v>0</v>
      </c>
      <c r="AB13" s="446">
        <f t="shared" si="1"/>
        <v>0</v>
      </c>
      <c r="AC13" s="446">
        <f t="shared" si="1"/>
        <v>0</v>
      </c>
      <c r="AD13" s="446">
        <f t="shared" si="1"/>
        <v>0</v>
      </c>
      <c r="AE13" s="446">
        <f t="shared" si="1"/>
        <v>0</v>
      </c>
      <c r="AF13" s="446">
        <f t="shared" si="2"/>
        <v>0</v>
      </c>
      <c r="AG13" s="446">
        <f t="shared" si="2"/>
        <v>0</v>
      </c>
      <c r="AH13" s="446">
        <f t="shared" si="2"/>
        <v>0</v>
      </c>
      <c r="AI13" s="446">
        <f t="shared" si="2"/>
        <v>0</v>
      </c>
      <c r="AJ13" s="446">
        <f t="shared" si="2"/>
        <v>0</v>
      </c>
      <c r="AK13" s="446">
        <f t="shared" si="2"/>
        <v>0</v>
      </c>
      <c r="AL13" s="446">
        <f t="shared" si="2"/>
        <v>0</v>
      </c>
      <c r="AM13" s="446">
        <f>SUM(טבלה17[[#This Row],[1]:[27]])</f>
        <v>0</v>
      </c>
      <c r="AN13" s="447">
        <f>ROUNDUP(טבלה17[[#This Row],[סה"כ]]/9,0)</f>
        <v>0</v>
      </c>
      <c r="AO13" s="190"/>
      <c r="AP13" s="466"/>
    </row>
    <row r="14" spans="1:54" s="219" customFormat="1" ht="16.5" customHeight="1">
      <c r="A14" s="440" t="s">
        <v>714</v>
      </c>
      <c r="B14" s="440">
        <v>607</v>
      </c>
      <c r="C14" s="427" t="e">
        <f>SUMIF([2]!טבלה6[קוד מוצר],B14,[2]!טבלה6[מחיר לקוח])</f>
        <v>#REF!</v>
      </c>
      <c r="D14" s="440">
        <v>1</v>
      </c>
      <c r="E14" s="427" t="e">
        <f t="shared" si="3"/>
        <v>#REF!</v>
      </c>
      <c r="F14" s="441">
        <v>0</v>
      </c>
      <c r="G14" s="442" t="e">
        <f t="shared" si="4"/>
        <v>#REF!</v>
      </c>
      <c r="H14" s="443" t="e">
        <f>(G14+E14)*#REF!</f>
        <v>#REF!</v>
      </c>
      <c r="I14" s="440" t="s">
        <v>3</v>
      </c>
      <c r="J14" s="444" t="s">
        <v>710</v>
      </c>
      <c r="K14" s="445">
        <f>1/3</f>
        <v>0.33333333333333331</v>
      </c>
      <c r="L14" s="446">
        <f t="shared" si="0"/>
        <v>0</v>
      </c>
      <c r="M14" s="446">
        <f t="shared" si="0"/>
        <v>0</v>
      </c>
      <c r="N14" s="446">
        <f t="shared" si="0"/>
        <v>0</v>
      </c>
      <c r="O14" s="446">
        <f t="shared" si="0"/>
        <v>0</v>
      </c>
      <c r="P14" s="446">
        <f t="shared" si="0"/>
        <v>0</v>
      </c>
      <c r="Q14" s="446">
        <f t="shared" si="0"/>
        <v>0</v>
      </c>
      <c r="R14" s="446">
        <f t="shared" si="0"/>
        <v>0</v>
      </c>
      <c r="S14" s="446">
        <f t="shared" si="0"/>
        <v>0</v>
      </c>
      <c r="T14" s="446">
        <f t="shared" si="0"/>
        <v>0</v>
      </c>
      <c r="U14" s="446">
        <f t="shared" si="0"/>
        <v>0</v>
      </c>
      <c r="V14" s="446">
        <f t="shared" si="1"/>
        <v>0</v>
      </c>
      <c r="W14" s="446">
        <f t="shared" si="1"/>
        <v>0</v>
      </c>
      <c r="X14" s="446">
        <f t="shared" si="1"/>
        <v>0</v>
      </c>
      <c r="Y14" s="446">
        <f t="shared" si="1"/>
        <v>0</v>
      </c>
      <c r="Z14" s="446">
        <f t="shared" si="1"/>
        <v>0</v>
      </c>
      <c r="AA14" s="446">
        <f t="shared" si="1"/>
        <v>0</v>
      </c>
      <c r="AB14" s="446">
        <f t="shared" si="1"/>
        <v>0</v>
      </c>
      <c r="AC14" s="446">
        <f t="shared" si="1"/>
        <v>0</v>
      </c>
      <c r="AD14" s="446">
        <f t="shared" si="1"/>
        <v>0</v>
      </c>
      <c r="AE14" s="446">
        <f t="shared" si="1"/>
        <v>0</v>
      </c>
      <c r="AF14" s="446">
        <f t="shared" si="2"/>
        <v>0</v>
      </c>
      <c r="AG14" s="446">
        <f t="shared" si="2"/>
        <v>0</v>
      </c>
      <c r="AH14" s="446">
        <f t="shared" si="2"/>
        <v>0</v>
      </c>
      <c r="AI14" s="446">
        <f t="shared" si="2"/>
        <v>0</v>
      </c>
      <c r="AJ14" s="446">
        <f t="shared" si="2"/>
        <v>0</v>
      </c>
      <c r="AK14" s="446">
        <f t="shared" si="2"/>
        <v>0</v>
      </c>
      <c r="AL14" s="446">
        <f t="shared" si="2"/>
        <v>0</v>
      </c>
      <c r="AM14" s="446">
        <f>SUM(טבלה17[[#This Row],[1]:[27]])</f>
        <v>0</v>
      </c>
      <c r="AN14" s="447">
        <f>ROUNDUP(טבלה17[[#This Row],[סה"כ]]/7,0)</f>
        <v>0</v>
      </c>
      <c r="AO14" s="220"/>
      <c r="AP14" s="471"/>
    </row>
    <row r="15" spans="1:54" ht="16.5" customHeight="1">
      <c r="A15" s="440" t="s">
        <v>714</v>
      </c>
      <c r="B15" s="440">
        <v>157</v>
      </c>
      <c r="C15" s="427" t="e">
        <f>SUMIF([2]!טבלה6[קוד מוצר],B15,[2]!טבלה6[מחיר לקוח])</f>
        <v>#REF!</v>
      </c>
      <c r="D15" s="440">
        <v>1</v>
      </c>
      <c r="E15" s="427" t="e">
        <f t="shared" si="3"/>
        <v>#REF!</v>
      </c>
      <c r="F15" s="441">
        <v>0</v>
      </c>
      <c r="G15" s="442" t="e">
        <f t="shared" si="4"/>
        <v>#REF!</v>
      </c>
      <c r="H15" s="443" t="e">
        <f>(G15+E15)*#REF!</f>
        <v>#REF!</v>
      </c>
      <c r="I15" s="440" t="s">
        <v>21</v>
      </c>
      <c r="J15" s="444" t="s">
        <v>704</v>
      </c>
      <c r="K15" s="445">
        <f>1/8</f>
        <v>0.125</v>
      </c>
      <c r="L15" s="446">
        <f t="shared" si="0"/>
        <v>0</v>
      </c>
      <c r="M15" s="446">
        <f t="shared" si="0"/>
        <v>0</v>
      </c>
      <c r="N15" s="446">
        <f t="shared" si="0"/>
        <v>0</v>
      </c>
      <c r="O15" s="446">
        <f t="shared" si="0"/>
        <v>0</v>
      </c>
      <c r="P15" s="446">
        <f t="shared" si="0"/>
        <v>0</v>
      </c>
      <c r="Q15" s="446">
        <f t="shared" si="0"/>
        <v>0</v>
      </c>
      <c r="R15" s="446">
        <f t="shared" si="0"/>
        <v>0</v>
      </c>
      <c r="S15" s="446">
        <f t="shared" si="0"/>
        <v>0</v>
      </c>
      <c r="T15" s="446">
        <f t="shared" si="0"/>
        <v>0</v>
      </c>
      <c r="U15" s="446">
        <f t="shared" si="0"/>
        <v>0</v>
      </c>
      <c r="V15" s="446">
        <f t="shared" si="1"/>
        <v>0</v>
      </c>
      <c r="W15" s="446">
        <f t="shared" si="1"/>
        <v>0</v>
      </c>
      <c r="X15" s="446">
        <f t="shared" si="1"/>
        <v>0</v>
      </c>
      <c r="Y15" s="446">
        <f t="shared" si="1"/>
        <v>0</v>
      </c>
      <c r="Z15" s="446">
        <f t="shared" si="1"/>
        <v>0</v>
      </c>
      <c r="AA15" s="446">
        <f t="shared" si="1"/>
        <v>0</v>
      </c>
      <c r="AB15" s="446">
        <f t="shared" si="1"/>
        <v>0</v>
      </c>
      <c r="AC15" s="446">
        <f t="shared" si="1"/>
        <v>0</v>
      </c>
      <c r="AD15" s="446">
        <f t="shared" si="1"/>
        <v>0</v>
      </c>
      <c r="AE15" s="446">
        <f t="shared" si="1"/>
        <v>0</v>
      </c>
      <c r="AF15" s="446">
        <f t="shared" si="2"/>
        <v>0</v>
      </c>
      <c r="AG15" s="446">
        <f t="shared" si="2"/>
        <v>0</v>
      </c>
      <c r="AH15" s="446">
        <f t="shared" si="2"/>
        <v>0</v>
      </c>
      <c r="AI15" s="446">
        <f t="shared" si="2"/>
        <v>0</v>
      </c>
      <c r="AJ15" s="446">
        <f t="shared" si="2"/>
        <v>0</v>
      </c>
      <c r="AK15" s="446">
        <f t="shared" si="2"/>
        <v>0</v>
      </c>
      <c r="AL15" s="446">
        <f t="shared" si="2"/>
        <v>0</v>
      </c>
      <c r="AM15" s="446">
        <f>SUM(טבלה17[[#This Row],[1]:[27]])</f>
        <v>0</v>
      </c>
      <c r="AN15" s="447">
        <f>ROUNDUP(טבלה17[[#This Row],[סה"כ]]/6,0)</f>
        <v>0</v>
      </c>
      <c r="AO15" s="190"/>
      <c r="AP15" s="466"/>
      <c r="AR15" s="448"/>
    </row>
    <row r="16" spans="1:54" s="219" customFormat="1" ht="16.5" customHeight="1">
      <c r="A16" s="440" t="s">
        <v>714</v>
      </c>
      <c r="B16" s="440">
        <v>328</v>
      </c>
      <c r="C16" s="427" t="e">
        <f>SUMIF([2]!טבלה6[קוד מוצר],B16,[2]!טבלה6[מחיר לקוח])</f>
        <v>#REF!</v>
      </c>
      <c r="D16" s="440">
        <v>1</v>
      </c>
      <c r="E16" s="427" t="e">
        <f t="shared" si="3"/>
        <v>#REF!</v>
      </c>
      <c r="F16" s="441">
        <v>0.17</v>
      </c>
      <c r="G16" s="442" t="e">
        <f t="shared" si="4"/>
        <v>#REF!</v>
      </c>
      <c r="H16" s="443" t="e">
        <f>(G16+E16)*#REF!</f>
        <v>#REF!</v>
      </c>
      <c r="I16" s="440" t="s">
        <v>41</v>
      </c>
      <c r="J16" s="444" t="s">
        <v>718</v>
      </c>
      <c r="K16" s="449">
        <f>1/30</f>
        <v>3.3333333333333333E-2</v>
      </c>
      <c r="L16" s="446">
        <f t="shared" si="0"/>
        <v>0</v>
      </c>
      <c r="M16" s="446">
        <f t="shared" si="0"/>
        <v>0</v>
      </c>
      <c r="N16" s="446">
        <f t="shared" si="0"/>
        <v>0</v>
      </c>
      <c r="O16" s="446">
        <f t="shared" si="0"/>
        <v>0</v>
      </c>
      <c r="P16" s="446">
        <f t="shared" si="0"/>
        <v>0</v>
      </c>
      <c r="Q16" s="446">
        <f t="shared" si="0"/>
        <v>0</v>
      </c>
      <c r="R16" s="446">
        <f t="shared" si="0"/>
        <v>0</v>
      </c>
      <c r="S16" s="446">
        <f t="shared" si="0"/>
        <v>0</v>
      </c>
      <c r="T16" s="446">
        <f t="shared" si="0"/>
        <v>0</v>
      </c>
      <c r="U16" s="446">
        <f t="shared" si="0"/>
        <v>0</v>
      </c>
      <c r="V16" s="446">
        <f t="shared" si="1"/>
        <v>0</v>
      </c>
      <c r="W16" s="446">
        <f t="shared" si="1"/>
        <v>0</v>
      </c>
      <c r="X16" s="446">
        <f t="shared" si="1"/>
        <v>0</v>
      </c>
      <c r="Y16" s="446">
        <f t="shared" si="1"/>
        <v>0</v>
      </c>
      <c r="Z16" s="446">
        <f t="shared" si="1"/>
        <v>0</v>
      </c>
      <c r="AA16" s="446">
        <f t="shared" si="1"/>
        <v>0</v>
      </c>
      <c r="AB16" s="446">
        <f t="shared" si="1"/>
        <v>0</v>
      </c>
      <c r="AC16" s="446">
        <f t="shared" si="1"/>
        <v>0</v>
      </c>
      <c r="AD16" s="446">
        <f t="shared" si="1"/>
        <v>0</v>
      </c>
      <c r="AE16" s="446">
        <f t="shared" si="1"/>
        <v>0</v>
      </c>
      <c r="AF16" s="446">
        <f t="shared" si="2"/>
        <v>0</v>
      </c>
      <c r="AG16" s="446">
        <f t="shared" si="2"/>
        <v>0</v>
      </c>
      <c r="AH16" s="446">
        <f t="shared" si="2"/>
        <v>0</v>
      </c>
      <c r="AI16" s="446">
        <f t="shared" si="2"/>
        <v>0</v>
      </c>
      <c r="AJ16" s="446">
        <f t="shared" si="2"/>
        <v>0</v>
      </c>
      <c r="AK16" s="446">
        <f t="shared" si="2"/>
        <v>0</v>
      </c>
      <c r="AL16" s="446">
        <f t="shared" si="2"/>
        <v>0</v>
      </c>
      <c r="AM16" s="446">
        <f>SUM(טבלה17[[#This Row],[1]:[27]])</f>
        <v>0</v>
      </c>
      <c r="AN16" s="447">
        <f>SUM(טבלה17[[#This Row],[סה"כ]])</f>
        <v>0</v>
      </c>
      <c r="AO16" s="190"/>
      <c r="AP16" s="466"/>
      <c r="AQ16" s="170"/>
    </row>
    <row r="17" spans="1:44" ht="16.5" customHeight="1">
      <c r="A17" s="440" t="s">
        <v>714</v>
      </c>
      <c r="B17" s="440">
        <v>397</v>
      </c>
      <c r="C17" s="427" t="e">
        <f>SUMIF([2]!טבלה6[קוד מוצר],B17,[2]!טבלה6[מחיר לקוח])</f>
        <v>#REF!</v>
      </c>
      <c r="D17" s="440">
        <v>1</v>
      </c>
      <c r="E17" s="427" t="e">
        <f t="shared" si="3"/>
        <v>#REF!</v>
      </c>
      <c r="F17" s="441">
        <v>0</v>
      </c>
      <c r="G17" s="442" t="e">
        <f t="shared" si="4"/>
        <v>#REF!</v>
      </c>
      <c r="H17" s="443" t="e">
        <f>(G17+E17)*#REF!</f>
        <v>#REF!</v>
      </c>
      <c r="I17" s="440" t="s">
        <v>719</v>
      </c>
      <c r="J17" s="444" t="s">
        <v>720</v>
      </c>
      <c r="K17" s="449">
        <f>1/16</f>
        <v>6.25E-2</v>
      </c>
      <c r="L17" s="446">
        <f t="shared" si="0"/>
        <v>0</v>
      </c>
      <c r="M17" s="446">
        <f t="shared" si="0"/>
        <v>0</v>
      </c>
      <c r="N17" s="446">
        <f t="shared" si="0"/>
        <v>0</v>
      </c>
      <c r="O17" s="446">
        <f t="shared" si="0"/>
        <v>0</v>
      </c>
      <c r="P17" s="446">
        <f t="shared" si="0"/>
        <v>0</v>
      </c>
      <c r="Q17" s="446">
        <f t="shared" si="0"/>
        <v>0</v>
      </c>
      <c r="R17" s="446">
        <f t="shared" si="0"/>
        <v>0</v>
      </c>
      <c r="S17" s="446">
        <f t="shared" si="0"/>
        <v>0</v>
      </c>
      <c r="T17" s="446">
        <f t="shared" si="0"/>
        <v>0</v>
      </c>
      <c r="U17" s="446">
        <f t="shared" si="0"/>
        <v>0</v>
      </c>
      <c r="V17" s="446">
        <f t="shared" si="1"/>
        <v>0</v>
      </c>
      <c r="W17" s="446">
        <f t="shared" si="1"/>
        <v>0</v>
      </c>
      <c r="X17" s="446">
        <f t="shared" si="1"/>
        <v>0</v>
      </c>
      <c r="Y17" s="446">
        <f t="shared" si="1"/>
        <v>0</v>
      </c>
      <c r="Z17" s="446">
        <f t="shared" si="1"/>
        <v>0</v>
      </c>
      <c r="AA17" s="446">
        <f t="shared" si="1"/>
        <v>0</v>
      </c>
      <c r="AB17" s="446">
        <f t="shared" si="1"/>
        <v>0</v>
      </c>
      <c r="AC17" s="446">
        <f t="shared" si="1"/>
        <v>0</v>
      </c>
      <c r="AD17" s="446">
        <f t="shared" si="1"/>
        <v>0</v>
      </c>
      <c r="AE17" s="446">
        <f t="shared" si="1"/>
        <v>0</v>
      </c>
      <c r="AF17" s="446">
        <f t="shared" si="2"/>
        <v>0</v>
      </c>
      <c r="AG17" s="446">
        <f t="shared" si="2"/>
        <v>0</v>
      </c>
      <c r="AH17" s="446">
        <f t="shared" si="2"/>
        <v>0</v>
      </c>
      <c r="AI17" s="446">
        <f t="shared" si="2"/>
        <v>0</v>
      </c>
      <c r="AJ17" s="446">
        <f t="shared" si="2"/>
        <v>0</v>
      </c>
      <c r="AK17" s="446">
        <f t="shared" si="2"/>
        <v>0</v>
      </c>
      <c r="AL17" s="446">
        <f t="shared" si="2"/>
        <v>0</v>
      </c>
      <c r="AM17" s="446">
        <f>SUM(טבלה17[[#This Row],[1]:[27]])</f>
        <v>0</v>
      </c>
      <c r="AN17" s="447">
        <f>ROUNDUP(טבלה17[[#This Row],[סה"כ]]/10,0)</f>
        <v>0</v>
      </c>
      <c r="AO17" s="190"/>
      <c r="AP17" s="466"/>
    </row>
    <row r="18" spans="1:44" s="219" customFormat="1" ht="16.5" customHeight="1">
      <c r="A18" s="440" t="s">
        <v>714</v>
      </c>
      <c r="B18" s="440">
        <v>4074</v>
      </c>
      <c r="C18" s="427" t="e">
        <f>SUMIF([2]!טבלה6[קוד מוצר],B18,[2]!טבלה6[מחיר לקוח])</f>
        <v>#REF!</v>
      </c>
      <c r="D18" s="440">
        <v>1</v>
      </c>
      <c r="E18" s="427" t="e">
        <f t="shared" si="3"/>
        <v>#REF!</v>
      </c>
      <c r="F18" s="441">
        <v>0.17</v>
      </c>
      <c r="G18" s="442" t="e">
        <f t="shared" si="4"/>
        <v>#REF!</v>
      </c>
      <c r="H18" s="443" t="e">
        <f>(G18+E18)*#REF!</f>
        <v>#REF!</v>
      </c>
      <c r="I18" s="440" t="s">
        <v>721</v>
      </c>
      <c r="J18" s="444" t="s">
        <v>718</v>
      </c>
      <c r="K18" s="450">
        <f>1/30</f>
        <v>3.3333333333333333E-2</v>
      </c>
      <c r="L18" s="446">
        <f t="shared" si="0"/>
        <v>0</v>
      </c>
      <c r="M18" s="446">
        <f t="shared" si="0"/>
        <v>0</v>
      </c>
      <c r="N18" s="446">
        <f t="shared" si="0"/>
        <v>0</v>
      </c>
      <c r="O18" s="446">
        <f t="shared" si="0"/>
        <v>0</v>
      </c>
      <c r="P18" s="446">
        <f t="shared" si="0"/>
        <v>0</v>
      </c>
      <c r="Q18" s="446">
        <f t="shared" si="0"/>
        <v>0</v>
      </c>
      <c r="R18" s="446">
        <f t="shared" si="0"/>
        <v>0</v>
      </c>
      <c r="S18" s="446">
        <f t="shared" si="0"/>
        <v>0</v>
      </c>
      <c r="T18" s="446">
        <f t="shared" si="0"/>
        <v>0</v>
      </c>
      <c r="U18" s="446">
        <f t="shared" si="0"/>
        <v>0</v>
      </c>
      <c r="V18" s="446">
        <f t="shared" si="1"/>
        <v>0</v>
      </c>
      <c r="W18" s="446">
        <f t="shared" si="1"/>
        <v>0</v>
      </c>
      <c r="X18" s="446">
        <f t="shared" si="1"/>
        <v>0</v>
      </c>
      <c r="Y18" s="446">
        <f t="shared" si="1"/>
        <v>0</v>
      </c>
      <c r="Z18" s="446">
        <f t="shared" si="1"/>
        <v>0</v>
      </c>
      <c r="AA18" s="446">
        <f t="shared" si="1"/>
        <v>0</v>
      </c>
      <c r="AB18" s="446">
        <f t="shared" si="1"/>
        <v>0</v>
      </c>
      <c r="AC18" s="446">
        <f t="shared" si="1"/>
        <v>0</v>
      </c>
      <c r="AD18" s="446">
        <f t="shared" si="1"/>
        <v>0</v>
      </c>
      <c r="AE18" s="446">
        <f t="shared" si="1"/>
        <v>0</v>
      </c>
      <c r="AF18" s="446">
        <f t="shared" si="2"/>
        <v>0</v>
      </c>
      <c r="AG18" s="446">
        <f t="shared" si="2"/>
        <v>0</v>
      </c>
      <c r="AH18" s="446">
        <f t="shared" si="2"/>
        <v>0</v>
      </c>
      <c r="AI18" s="446">
        <f t="shared" si="2"/>
        <v>0</v>
      </c>
      <c r="AJ18" s="446">
        <f t="shared" si="2"/>
        <v>0</v>
      </c>
      <c r="AK18" s="446">
        <f t="shared" si="2"/>
        <v>0</v>
      </c>
      <c r="AL18" s="446">
        <f t="shared" si="2"/>
        <v>0</v>
      </c>
      <c r="AM18" s="446">
        <f>SUM(טבלה17[[#This Row],[1]:[27]])</f>
        <v>0</v>
      </c>
      <c r="AN18" s="447">
        <f>טבלה17[[#This Row],[סה"כ]]</f>
        <v>0</v>
      </c>
      <c r="AO18" s="220"/>
      <c r="AP18" s="471"/>
    </row>
    <row r="19" spans="1:44" ht="16.5" customHeight="1">
      <c r="A19" s="440" t="s">
        <v>714</v>
      </c>
      <c r="B19" s="440">
        <v>383</v>
      </c>
      <c r="C19" s="427" t="e">
        <f>SUMIF([2]!טבלה6[קוד מוצר],B19,[2]!טבלה6[מחיר לקוח])</f>
        <v>#REF!</v>
      </c>
      <c r="D19" s="440">
        <v>1</v>
      </c>
      <c r="E19" s="427" t="e">
        <f t="shared" si="3"/>
        <v>#REF!</v>
      </c>
      <c r="F19" s="441">
        <v>0.17</v>
      </c>
      <c r="G19" s="442" t="e">
        <f t="shared" si="4"/>
        <v>#REF!</v>
      </c>
      <c r="H19" s="443" t="e">
        <f>(G19+E19)*#REF!</f>
        <v>#REF!</v>
      </c>
      <c r="I19" s="440" t="s">
        <v>23</v>
      </c>
      <c r="J19" s="444" t="s">
        <v>722</v>
      </c>
      <c r="K19" s="472">
        <f>1/14</f>
        <v>7.1428571428571425E-2</v>
      </c>
      <c r="L19" s="446">
        <f t="shared" si="0"/>
        <v>0</v>
      </c>
      <c r="M19" s="446">
        <f t="shared" si="0"/>
        <v>0</v>
      </c>
      <c r="N19" s="446">
        <f t="shared" si="0"/>
        <v>0</v>
      </c>
      <c r="O19" s="446">
        <f t="shared" si="0"/>
        <v>0</v>
      </c>
      <c r="P19" s="446">
        <f t="shared" si="0"/>
        <v>0</v>
      </c>
      <c r="Q19" s="446">
        <f t="shared" si="0"/>
        <v>0</v>
      </c>
      <c r="R19" s="446">
        <f t="shared" si="0"/>
        <v>0</v>
      </c>
      <c r="S19" s="446">
        <f t="shared" si="0"/>
        <v>0</v>
      </c>
      <c r="T19" s="446">
        <f t="shared" si="0"/>
        <v>0</v>
      </c>
      <c r="U19" s="446">
        <f t="shared" si="0"/>
        <v>0</v>
      </c>
      <c r="V19" s="446">
        <f t="shared" si="1"/>
        <v>0</v>
      </c>
      <c r="W19" s="446">
        <f t="shared" si="1"/>
        <v>0</v>
      </c>
      <c r="X19" s="446">
        <f t="shared" si="1"/>
        <v>0</v>
      </c>
      <c r="Y19" s="446">
        <f t="shared" si="1"/>
        <v>0</v>
      </c>
      <c r="Z19" s="446">
        <f t="shared" si="1"/>
        <v>0</v>
      </c>
      <c r="AA19" s="446">
        <f t="shared" si="1"/>
        <v>0</v>
      </c>
      <c r="AB19" s="446">
        <f t="shared" si="1"/>
        <v>0</v>
      </c>
      <c r="AC19" s="446">
        <f t="shared" si="1"/>
        <v>0</v>
      </c>
      <c r="AD19" s="446">
        <f t="shared" si="1"/>
        <v>0</v>
      </c>
      <c r="AE19" s="446">
        <f t="shared" si="1"/>
        <v>0</v>
      </c>
      <c r="AF19" s="446">
        <f t="shared" si="2"/>
        <v>0</v>
      </c>
      <c r="AG19" s="446">
        <f t="shared" si="2"/>
        <v>0</v>
      </c>
      <c r="AH19" s="446">
        <f t="shared" si="2"/>
        <v>0</v>
      </c>
      <c r="AI19" s="446">
        <f t="shared" si="2"/>
        <v>0</v>
      </c>
      <c r="AJ19" s="446">
        <f t="shared" si="2"/>
        <v>0</v>
      </c>
      <c r="AK19" s="446">
        <f t="shared" si="2"/>
        <v>0</v>
      </c>
      <c r="AL19" s="446">
        <f t="shared" si="2"/>
        <v>0</v>
      </c>
      <c r="AM19" s="446">
        <f>SUM(טבלה17[[#This Row],[1]:[27]])</f>
        <v>0</v>
      </c>
      <c r="AN19" s="447">
        <f>טבלה17[[#This Row],[סה"כ]]</f>
        <v>0</v>
      </c>
      <c r="AO19" s="190"/>
      <c r="AP19" s="466"/>
      <c r="AR19" s="448"/>
    </row>
    <row r="20" spans="1:44" s="219" customFormat="1" ht="16.5" customHeight="1">
      <c r="A20" s="440" t="s">
        <v>714</v>
      </c>
      <c r="B20" s="440">
        <v>380</v>
      </c>
      <c r="C20" s="427" t="e">
        <f>SUMIF([2]!טבלה6[קוד מוצר],B20,[2]!טבלה6[מחיר לקוח])</f>
        <v>#REF!</v>
      </c>
      <c r="D20" s="440">
        <v>2</v>
      </c>
      <c r="E20" s="427" t="e">
        <f>C20/D20/8</f>
        <v>#REF!</v>
      </c>
      <c r="F20" s="441">
        <v>0.17</v>
      </c>
      <c r="G20" s="442" t="e">
        <f t="shared" si="4"/>
        <v>#REF!</v>
      </c>
      <c r="H20" s="443" t="e">
        <f>(G20+E20)*#REF!</f>
        <v>#REF!</v>
      </c>
      <c r="I20" s="440" t="s">
        <v>723</v>
      </c>
      <c r="J20" s="444" t="s">
        <v>724</v>
      </c>
      <c r="K20" s="450">
        <v>120</v>
      </c>
      <c r="L20" s="446">
        <f t="shared" ref="L20:AL20" si="5">ROUNDUP($K20*(L$7+L$8),0)</f>
        <v>0</v>
      </c>
      <c r="M20" s="446">
        <f t="shared" si="5"/>
        <v>0</v>
      </c>
      <c r="N20" s="446">
        <f t="shared" si="5"/>
        <v>0</v>
      </c>
      <c r="O20" s="446">
        <f t="shared" si="5"/>
        <v>0</v>
      </c>
      <c r="P20" s="446">
        <f t="shared" si="5"/>
        <v>0</v>
      </c>
      <c r="Q20" s="446">
        <f t="shared" si="5"/>
        <v>0</v>
      </c>
      <c r="R20" s="446">
        <f t="shared" si="5"/>
        <v>0</v>
      </c>
      <c r="S20" s="446">
        <f t="shared" si="5"/>
        <v>0</v>
      </c>
      <c r="T20" s="446">
        <f t="shared" si="5"/>
        <v>0</v>
      </c>
      <c r="U20" s="446">
        <f t="shared" si="5"/>
        <v>0</v>
      </c>
      <c r="V20" s="446">
        <f t="shared" si="5"/>
        <v>0</v>
      </c>
      <c r="W20" s="446">
        <f t="shared" si="5"/>
        <v>0</v>
      </c>
      <c r="X20" s="446">
        <f t="shared" si="5"/>
        <v>0</v>
      </c>
      <c r="Y20" s="446">
        <f t="shared" si="5"/>
        <v>0</v>
      </c>
      <c r="Z20" s="446">
        <f t="shared" si="5"/>
        <v>0</v>
      </c>
      <c r="AA20" s="446">
        <f t="shared" si="5"/>
        <v>0</v>
      </c>
      <c r="AB20" s="446">
        <f t="shared" si="5"/>
        <v>0</v>
      </c>
      <c r="AC20" s="446">
        <f t="shared" si="5"/>
        <v>0</v>
      </c>
      <c r="AD20" s="446">
        <f t="shared" si="5"/>
        <v>0</v>
      </c>
      <c r="AE20" s="446">
        <f t="shared" si="5"/>
        <v>0</v>
      </c>
      <c r="AF20" s="446">
        <f t="shared" si="5"/>
        <v>0</v>
      </c>
      <c r="AG20" s="446">
        <f t="shared" si="5"/>
        <v>0</v>
      </c>
      <c r="AH20" s="446">
        <f t="shared" si="5"/>
        <v>0</v>
      </c>
      <c r="AI20" s="446">
        <f t="shared" si="5"/>
        <v>0</v>
      </c>
      <c r="AJ20" s="446">
        <f t="shared" si="5"/>
        <v>0</v>
      </c>
      <c r="AK20" s="446">
        <f t="shared" si="5"/>
        <v>0</v>
      </c>
      <c r="AL20" s="446">
        <f t="shared" si="5"/>
        <v>0</v>
      </c>
      <c r="AM20" s="446">
        <f>SUM(טבלה17[[#This Row],[1]:[27]])</f>
        <v>0</v>
      </c>
      <c r="AN20" s="447">
        <f>CEILING(טבלה17[[#This Row],[סה"כ]]/1000,2)</f>
        <v>0</v>
      </c>
      <c r="AO20" s="220"/>
      <c r="AP20" s="471"/>
      <c r="AR20" s="224"/>
    </row>
    <row r="21" spans="1:44" ht="16.5" customHeight="1">
      <c r="A21" s="440" t="s">
        <v>714</v>
      </c>
      <c r="B21" s="440">
        <v>6147</v>
      </c>
      <c r="C21" s="427" t="e">
        <f>SUMIF([2]!טבלה6[קוד מוצר],B21,[2]!טבלה6[מחיר לקוח])</f>
        <v>#REF!</v>
      </c>
      <c r="D21" s="440">
        <v>1</v>
      </c>
      <c r="E21" s="427" t="e">
        <f>C21/D21/7</f>
        <v>#REF!</v>
      </c>
      <c r="F21" s="441">
        <v>0.17</v>
      </c>
      <c r="G21" s="442" t="e">
        <f t="shared" si="4"/>
        <v>#REF!</v>
      </c>
      <c r="H21" s="443" t="e">
        <f>(G21+E21)*#REF!</f>
        <v>#REF!</v>
      </c>
      <c r="I21" s="440" t="s">
        <v>112</v>
      </c>
      <c r="J21" s="444" t="s">
        <v>629</v>
      </c>
      <c r="K21" s="450">
        <v>1</v>
      </c>
      <c r="L21" s="446">
        <f t="shared" ref="L21:AL21" si="6">ROUNDUP($K21*L$9,0)</f>
        <v>0</v>
      </c>
      <c r="M21" s="446">
        <f t="shared" si="6"/>
        <v>0</v>
      </c>
      <c r="N21" s="446">
        <f t="shared" si="6"/>
        <v>0</v>
      </c>
      <c r="O21" s="446">
        <f t="shared" si="6"/>
        <v>0</v>
      </c>
      <c r="P21" s="446">
        <f t="shared" si="6"/>
        <v>0</v>
      </c>
      <c r="Q21" s="446">
        <f t="shared" si="6"/>
        <v>0</v>
      </c>
      <c r="R21" s="446">
        <f t="shared" si="6"/>
        <v>0</v>
      </c>
      <c r="S21" s="446">
        <f t="shared" si="6"/>
        <v>0</v>
      </c>
      <c r="T21" s="446">
        <f t="shared" si="6"/>
        <v>0</v>
      </c>
      <c r="U21" s="446">
        <f t="shared" si="6"/>
        <v>0</v>
      </c>
      <c r="V21" s="446">
        <f t="shared" si="6"/>
        <v>0</v>
      </c>
      <c r="W21" s="446">
        <f t="shared" si="6"/>
        <v>0</v>
      </c>
      <c r="X21" s="446">
        <f t="shared" si="6"/>
        <v>0</v>
      </c>
      <c r="Y21" s="446">
        <f t="shared" si="6"/>
        <v>0</v>
      </c>
      <c r="Z21" s="446">
        <f t="shared" si="6"/>
        <v>0</v>
      </c>
      <c r="AA21" s="446">
        <f t="shared" si="6"/>
        <v>0</v>
      </c>
      <c r="AB21" s="446">
        <f t="shared" si="6"/>
        <v>0</v>
      </c>
      <c r="AC21" s="446">
        <f t="shared" si="6"/>
        <v>0</v>
      </c>
      <c r="AD21" s="446">
        <f t="shared" si="6"/>
        <v>0</v>
      </c>
      <c r="AE21" s="446">
        <f t="shared" si="6"/>
        <v>0</v>
      </c>
      <c r="AF21" s="446">
        <f t="shared" si="6"/>
        <v>0</v>
      </c>
      <c r="AG21" s="446">
        <f t="shared" si="6"/>
        <v>0</v>
      </c>
      <c r="AH21" s="446">
        <f t="shared" si="6"/>
        <v>0</v>
      </c>
      <c r="AI21" s="446">
        <f t="shared" si="6"/>
        <v>0</v>
      </c>
      <c r="AJ21" s="446">
        <f t="shared" si="6"/>
        <v>0</v>
      </c>
      <c r="AK21" s="446">
        <f t="shared" si="6"/>
        <v>0</v>
      </c>
      <c r="AL21" s="446">
        <f t="shared" si="6"/>
        <v>0</v>
      </c>
      <c r="AM21" s="446">
        <f>SUM(טבלה17[[#This Row],[1]:[27]])</f>
        <v>0</v>
      </c>
      <c r="AN21" s="447">
        <f>טבלה17[[#This Row],[סה"כ]]</f>
        <v>0</v>
      </c>
      <c r="AO21" s="190"/>
      <c r="AP21" s="466"/>
      <c r="AR21" s="224"/>
    </row>
    <row r="22" spans="1:44" s="219" customFormat="1" ht="16.5" customHeight="1">
      <c r="A22" s="440" t="s">
        <v>714</v>
      </c>
      <c r="B22" s="440">
        <v>1711</v>
      </c>
      <c r="C22" s="427" t="e">
        <f>SUMIF([2]!טבלה6[קוד מוצר],B22,[2]!טבלה6[מחיר לקוח])</f>
        <v>#REF!</v>
      </c>
      <c r="D22" s="440">
        <v>1</v>
      </c>
      <c r="E22" s="427" t="e">
        <f>C22/D22</f>
        <v>#REF!</v>
      </c>
      <c r="F22" s="441">
        <v>0.17</v>
      </c>
      <c r="G22" s="451" t="e">
        <f>E22*F22</f>
        <v>#REF!</v>
      </c>
      <c r="H22" s="443" t="e">
        <f>(G22+E22)*#REF!</f>
        <v>#REF!</v>
      </c>
      <c r="I22" s="440" t="s">
        <v>25</v>
      </c>
      <c r="J22" s="473" t="s">
        <v>702</v>
      </c>
      <c r="K22" s="474">
        <f>1/10</f>
        <v>0.1</v>
      </c>
      <c r="L22" s="446">
        <f t="shared" ref="L22:AL22" si="7">ROUNDUP($K22*L$6,0)</f>
        <v>0</v>
      </c>
      <c r="M22" s="446">
        <f t="shared" si="7"/>
        <v>0</v>
      </c>
      <c r="N22" s="446">
        <f t="shared" si="7"/>
        <v>0</v>
      </c>
      <c r="O22" s="446">
        <f t="shared" si="7"/>
        <v>0</v>
      </c>
      <c r="P22" s="446">
        <f t="shared" si="7"/>
        <v>0</v>
      </c>
      <c r="Q22" s="446">
        <f t="shared" si="7"/>
        <v>0</v>
      </c>
      <c r="R22" s="446">
        <f t="shared" si="7"/>
        <v>0</v>
      </c>
      <c r="S22" s="446">
        <f t="shared" si="7"/>
        <v>0</v>
      </c>
      <c r="T22" s="446">
        <f t="shared" si="7"/>
        <v>0</v>
      </c>
      <c r="U22" s="446">
        <f t="shared" si="7"/>
        <v>0</v>
      </c>
      <c r="V22" s="446">
        <f t="shared" si="7"/>
        <v>0</v>
      </c>
      <c r="W22" s="446">
        <f t="shared" si="7"/>
        <v>0</v>
      </c>
      <c r="X22" s="446">
        <f t="shared" si="7"/>
        <v>0</v>
      </c>
      <c r="Y22" s="446">
        <f t="shared" si="7"/>
        <v>0</v>
      </c>
      <c r="Z22" s="446">
        <f t="shared" si="7"/>
        <v>0</v>
      </c>
      <c r="AA22" s="446">
        <f t="shared" si="7"/>
        <v>0</v>
      </c>
      <c r="AB22" s="446">
        <f t="shared" si="7"/>
        <v>0</v>
      </c>
      <c r="AC22" s="446">
        <f t="shared" si="7"/>
        <v>0</v>
      </c>
      <c r="AD22" s="446">
        <f t="shared" si="7"/>
        <v>0</v>
      </c>
      <c r="AE22" s="446">
        <f t="shared" si="7"/>
        <v>0</v>
      </c>
      <c r="AF22" s="446">
        <f t="shared" si="7"/>
        <v>0</v>
      </c>
      <c r="AG22" s="446">
        <f t="shared" si="7"/>
        <v>0</v>
      </c>
      <c r="AH22" s="446">
        <f t="shared" si="7"/>
        <v>0</v>
      </c>
      <c r="AI22" s="446">
        <f t="shared" si="7"/>
        <v>0</v>
      </c>
      <c r="AJ22" s="446">
        <f t="shared" si="7"/>
        <v>0</v>
      </c>
      <c r="AK22" s="446">
        <f t="shared" si="7"/>
        <v>0</v>
      </c>
      <c r="AL22" s="446">
        <f t="shared" si="7"/>
        <v>0</v>
      </c>
      <c r="AM22" s="446">
        <f>SUM(טבלה17[[#This Row],[1]:[27]])</f>
        <v>0</v>
      </c>
      <c r="AN22" s="447">
        <f>טבלה17[[#This Row],[סה"כ]]</f>
        <v>0</v>
      </c>
      <c r="AO22" s="220"/>
      <c r="AP22" s="471"/>
    </row>
    <row r="23" spans="1:44" ht="16.5" customHeight="1">
      <c r="A23" s="440" t="s">
        <v>714</v>
      </c>
      <c r="B23" s="440">
        <v>440</v>
      </c>
      <c r="C23" s="427" t="e">
        <f>SUMIF([2]!טבלה6[קוד מוצר],B23,[2]!טבלה6[מחיר לקוח])</f>
        <v>#REF!</v>
      </c>
      <c r="D23" s="440">
        <v>1</v>
      </c>
      <c r="E23" s="427" t="e">
        <f t="shared" si="3"/>
        <v>#REF!</v>
      </c>
      <c r="F23" s="441">
        <v>0.17</v>
      </c>
      <c r="G23" s="442" t="e">
        <f>E23*F23</f>
        <v>#REF!</v>
      </c>
      <c r="H23" s="443" t="e">
        <f>(G23+E23)*#REF!</f>
        <v>#REF!</v>
      </c>
      <c r="I23" s="440" t="s">
        <v>106</v>
      </c>
      <c r="J23" s="444" t="s">
        <v>726</v>
      </c>
      <c r="K23" s="450">
        <v>1</v>
      </c>
      <c r="L23" s="446">
        <f t="shared" ref="L23:U26" si="8">IF(L$6&gt;0,$K23,0)</f>
        <v>0</v>
      </c>
      <c r="M23" s="446">
        <f t="shared" si="8"/>
        <v>0</v>
      </c>
      <c r="N23" s="446">
        <f t="shared" si="8"/>
        <v>0</v>
      </c>
      <c r="O23" s="446">
        <f t="shared" si="8"/>
        <v>0</v>
      </c>
      <c r="P23" s="446">
        <f t="shared" si="8"/>
        <v>0</v>
      </c>
      <c r="Q23" s="446">
        <f t="shared" si="8"/>
        <v>0</v>
      </c>
      <c r="R23" s="446">
        <f t="shared" si="8"/>
        <v>0</v>
      </c>
      <c r="S23" s="446">
        <f t="shared" si="8"/>
        <v>0</v>
      </c>
      <c r="T23" s="446">
        <f t="shared" si="8"/>
        <v>0</v>
      </c>
      <c r="U23" s="446">
        <f t="shared" si="8"/>
        <v>0</v>
      </c>
      <c r="V23" s="446">
        <f t="shared" ref="V23:AE26" si="9">IF(V$6&gt;0,$K23,0)</f>
        <v>0</v>
      </c>
      <c r="W23" s="446">
        <f t="shared" si="9"/>
        <v>0</v>
      </c>
      <c r="X23" s="446">
        <f t="shared" si="9"/>
        <v>0</v>
      </c>
      <c r="Y23" s="446">
        <f t="shared" si="9"/>
        <v>0</v>
      </c>
      <c r="Z23" s="446">
        <f t="shared" si="9"/>
        <v>0</v>
      </c>
      <c r="AA23" s="446">
        <f t="shared" si="9"/>
        <v>0</v>
      </c>
      <c r="AB23" s="446">
        <f t="shared" si="9"/>
        <v>0</v>
      </c>
      <c r="AC23" s="446">
        <f t="shared" si="9"/>
        <v>0</v>
      </c>
      <c r="AD23" s="446">
        <f t="shared" si="9"/>
        <v>0</v>
      </c>
      <c r="AE23" s="446">
        <f t="shared" si="9"/>
        <v>0</v>
      </c>
      <c r="AF23" s="446">
        <f t="shared" ref="AF23:AL26" si="10">IF(AF$6&gt;0,$K23,0)</f>
        <v>0</v>
      </c>
      <c r="AG23" s="446">
        <f t="shared" si="10"/>
        <v>0</v>
      </c>
      <c r="AH23" s="446">
        <f t="shared" si="10"/>
        <v>0</v>
      </c>
      <c r="AI23" s="446">
        <f t="shared" si="10"/>
        <v>0</v>
      </c>
      <c r="AJ23" s="446">
        <f t="shared" si="10"/>
        <v>0</v>
      </c>
      <c r="AK23" s="446">
        <f t="shared" si="10"/>
        <v>0</v>
      </c>
      <c r="AL23" s="446">
        <f t="shared" si="10"/>
        <v>0</v>
      </c>
      <c r="AM23" s="446">
        <f>SUM(טבלה17[[#This Row],[1]:[27]])</f>
        <v>0</v>
      </c>
      <c r="AN23" s="447">
        <f>ROUNDUP(טבלה17[[#This Row],[סה"כ]]/15,0)</f>
        <v>0</v>
      </c>
      <c r="AO23" s="190"/>
      <c r="AP23" s="466"/>
      <c r="AR23" s="448"/>
    </row>
    <row r="24" spans="1:44" s="219" customFormat="1" ht="16.5" customHeight="1">
      <c r="A24" s="440" t="s">
        <v>714</v>
      </c>
      <c r="B24" s="440">
        <v>688</v>
      </c>
      <c r="C24" s="427" t="e">
        <f>SUMIF([2]!טבלה6[קוד מוצר],B24,[2]!טבלה6[מחיר לקוח])</f>
        <v>#REF!</v>
      </c>
      <c r="D24" s="440">
        <v>1</v>
      </c>
      <c r="E24" s="427" t="e">
        <f t="shared" si="3"/>
        <v>#REF!</v>
      </c>
      <c r="F24" s="441">
        <v>0.17</v>
      </c>
      <c r="G24" s="442" t="e">
        <f>E24*F24</f>
        <v>#REF!</v>
      </c>
      <c r="H24" s="443" t="e">
        <f>(G24+E24)*#REF!</f>
        <v>#REF!</v>
      </c>
      <c r="I24" s="440" t="s">
        <v>727</v>
      </c>
      <c r="J24" s="444" t="s">
        <v>726</v>
      </c>
      <c r="K24" s="450">
        <v>1</v>
      </c>
      <c r="L24" s="446">
        <f t="shared" si="8"/>
        <v>0</v>
      </c>
      <c r="M24" s="446">
        <f t="shared" si="8"/>
        <v>0</v>
      </c>
      <c r="N24" s="446">
        <f t="shared" si="8"/>
        <v>0</v>
      </c>
      <c r="O24" s="446">
        <f t="shared" si="8"/>
        <v>0</v>
      </c>
      <c r="P24" s="446">
        <f t="shared" si="8"/>
        <v>0</v>
      </c>
      <c r="Q24" s="446">
        <f t="shared" si="8"/>
        <v>0</v>
      </c>
      <c r="R24" s="446">
        <f t="shared" si="8"/>
        <v>0</v>
      </c>
      <c r="S24" s="446">
        <f t="shared" si="8"/>
        <v>0</v>
      </c>
      <c r="T24" s="446">
        <f t="shared" si="8"/>
        <v>0</v>
      </c>
      <c r="U24" s="446">
        <f t="shared" si="8"/>
        <v>0</v>
      </c>
      <c r="V24" s="446">
        <f t="shared" si="9"/>
        <v>0</v>
      </c>
      <c r="W24" s="446">
        <f t="shared" si="9"/>
        <v>0</v>
      </c>
      <c r="X24" s="446">
        <f t="shared" si="9"/>
        <v>0</v>
      </c>
      <c r="Y24" s="446">
        <f t="shared" si="9"/>
        <v>0</v>
      </c>
      <c r="Z24" s="446">
        <f t="shared" si="9"/>
        <v>0</v>
      </c>
      <c r="AA24" s="446">
        <f t="shared" si="9"/>
        <v>0</v>
      </c>
      <c r="AB24" s="446">
        <f t="shared" si="9"/>
        <v>0</v>
      </c>
      <c r="AC24" s="446">
        <f t="shared" si="9"/>
        <v>0</v>
      </c>
      <c r="AD24" s="446">
        <f t="shared" si="9"/>
        <v>0</v>
      </c>
      <c r="AE24" s="446">
        <f t="shared" si="9"/>
        <v>0</v>
      </c>
      <c r="AF24" s="446">
        <f t="shared" si="10"/>
        <v>0</v>
      </c>
      <c r="AG24" s="446">
        <f t="shared" si="10"/>
        <v>0</v>
      </c>
      <c r="AH24" s="446">
        <f t="shared" si="10"/>
        <v>0</v>
      </c>
      <c r="AI24" s="446">
        <f t="shared" si="10"/>
        <v>0</v>
      </c>
      <c r="AJ24" s="446">
        <f t="shared" si="10"/>
        <v>0</v>
      </c>
      <c r="AK24" s="446">
        <f t="shared" si="10"/>
        <v>0</v>
      </c>
      <c r="AL24" s="446">
        <f t="shared" si="10"/>
        <v>0</v>
      </c>
      <c r="AM24" s="446">
        <f>SUM(טבלה17[[#This Row],[1]:[27]])</f>
        <v>0</v>
      </c>
      <c r="AN24" s="447">
        <f>ROUNDUP(טבלה17[[#This Row],[סה"כ]]/15,0)</f>
        <v>0</v>
      </c>
      <c r="AO24" s="220"/>
      <c r="AP24" s="471"/>
      <c r="AR24" s="222"/>
    </row>
    <row r="25" spans="1:44" ht="16.5" customHeight="1">
      <c r="A25" s="440" t="s">
        <v>714</v>
      </c>
      <c r="B25" s="440">
        <v>694</v>
      </c>
      <c r="C25" s="427" t="e">
        <f>SUMIF([2]!טבלה6[קוד מוצר],B25,[2]!טבלה6[מחיר לקוח])</f>
        <v>#REF!</v>
      </c>
      <c r="D25" s="440">
        <v>1</v>
      </c>
      <c r="E25" s="427" t="e">
        <f t="shared" si="3"/>
        <v>#REF!</v>
      </c>
      <c r="F25" s="441">
        <v>0.17</v>
      </c>
      <c r="G25" s="442" t="e">
        <f>E25*F25</f>
        <v>#REF!</v>
      </c>
      <c r="H25" s="443" t="e">
        <f>(G25+E25)*#REF!</f>
        <v>#REF!</v>
      </c>
      <c r="I25" s="440" t="s">
        <v>728</v>
      </c>
      <c r="J25" s="444" t="s">
        <v>726</v>
      </c>
      <c r="K25" s="450">
        <v>1</v>
      </c>
      <c r="L25" s="446">
        <f t="shared" si="8"/>
        <v>0</v>
      </c>
      <c r="M25" s="446">
        <f t="shared" si="8"/>
        <v>0</v>
      </c>
      <c r="N25" s="446">
        <f t="shared" si="8"/>
        <v>0</v>
      </c>
      <c r="O25" s="446">
        <f t="shared" si="8"/>
        <v>0</v>
      </c>
      <c r="P25" s="446">
        <f t="shared" si="8"/>
        <v>0</v>
      </c>
      <c r="Q25" s="446">
        <f t="shared" si="8"/>
        <v>0</v>
      </c>
      <c r="R25" s="446">
        <f t="shared" si="8"/>
        <v>0</v>
      </c>
      <c r="S25" s="446">
        <f t="shared" si="8"/>
        <v>0</v>
      </c>
      <c r="T25" s="446">
        <f t="shared" si="8"/>
        <v>0</v>
      </c>
      <c r="U25" s="446">
        <f t="shared" si="8"/>
        <v>0</v>
      </c>
      <c r="V25" s="446">
        <f t="shared" si="9"/>
        <v>0</v>
      </c>
      <c r="W25" s="446">
        <f t="shared" si="9"/>
        <v>0</v>
      </c>
      <c r="X25" s="446">
        <f t="shared" si="9"/>
        <v>0</v>
      </c>
      <c r="Y25" s="446">
        <f t="shared" si="9"/>
        <v>0</v>
      </c>
      <c r="Z25" s="446">
        <f t="shared" si="9"/>
        <v>0</v>
      </c>
      <c r="AA25" s="446">
        <f t="shared" si="9"/>
        <v>0</v>
      </c>
      <c r="AB25" s="446">
        <f t="shared" si="9"/>
        <v>0</v>
      </c>
      <c r="AC25" s="446">
        <f t="shared" si="9"/>
        <v>0</v>
      </c>
      <c r="AD25" s="446">
        <f t="shared" si="9"/>
        <v>0</v>
      </c>
      <c r="AE25" s="446">
        <f t="shared" si="9"/>
        <v>0</v>
      </c>
      <c r="AF25" s="446">
        <f t="shared" si="10"/>
        <v>0</v>
      </c>
      <c r="AG25" s="446">
        <f t="shared" si="10"/>
        <v>0</v>
      </c>
      <c r="AH25" s="446">
        <f t="shared" si="10"/>
        <v>0</v>
      </c>
      <c r="AI25" s="446">
        <f t="shared" si="10"/>
        <v>0</v>
      </c>
      <c r="AJ25" s="446">
        <f t="shared" si="10"/>
        <v>0</v>
      </c>
      <c r="AK25" s="446">
        <f t="shared" si="10"/>
        <v>0</v>
      </c>
      <c r="AL25" s="446">
        <f t="shared" si="10"/>
        <v>0</v>
      </c>
      <c r="AM25" s="446">
        <f>SUM(טבלה17[[#This Row],[1]:[27]])</f>
        <v>0</v>
      </c>
      <c r="AN25" s="447">
        <f>ROUNDUP(טבלה17[[#This Row],[סה"כ]]/15,0)</f>
        <v>0</v>
      </c>
      <c r="AO25" s="190"/>
      <c r="AP25" s="466"/>
      <c r="AR25" s="448"/>
    </row>
    <row r="26" spans="1:44" s="219" customFormat="1" ht="16.5" customHeight="1">
      <c r="A26" s="440" t="s">
        <v>714</v>
      </c>
      <c r="B26" s="440">
        <v>360</v>
      </c>
      <c r="C26" s="427" t="e">
        <f>SUMIF([2]!טבלה6[קוד מוצר],B26,[2]!טבלה6[מחיר לקוח])</f>
        <v>#REF!</v>
      </c>
      <c r="D26" s="440">
        <v>1</v>
      </c>
      <c r="E26" s="427" t="e">
        <f t="shared" si="3"/>
        <v>#REF!</v>
      </c>
      <c r="F26" s="441">
        <v>0.17</v>
      </c>
      <c r="G26" s="442" t="e">
        <f t="shared" si="4"/>
        <v>#REF!</v>
      </c>
      <c r="H26" s="443" t="e">
        <f>(G26+E26)*#REF!</f>
        <v>#REF!</v>
      </c>
      <c r="I26" s="440" t="s">
        <v>502</v>
      </c>
      <c r="J26" s="444" t="s">
        <v>726</v>
      </c>
      <c r="K26" s="450">
        <v>1</v>
      </c>
      <c r="L26" s="446">
        <f t="shared" si="8"/>
        <v>0</v>
      </c>
      <c r="M26" s="446">
        <f t="shared" si="8"/>
        <v>0</v>
      </c>
      <c r="N26" s="446">
        <f t="shared" si="8"/>
        <v>0</v>
      </c>
      <c r="O26" s="446">
        <f t="shared" si="8"/>
        <v>0</v>
      </c>
      <c r="P26" s="446">
        <f t="shared" si="8"/>
        <v>0</v>
      </c>
      <c r="Q26" s="446">
        <f t="shared" si="8"/>
        <v>0</v>
      </c>
      <c r="R26" s="446">
        <f t="shared" si="8"/>
        <v>0</v>
      </c>
      <c r="S26" s="446">
        <f t="shared" si="8"/>
        <v>0</v>
      </c>
      <c r="T26" s="446">
        <f t="shared" si="8"/>
        <v>0</v>
      </c>
      <c r="U26" s="446">
        <f t="shared" si="8"/>
        <v>0</v>
      </c>
      <c r="V26" s="446">
        <f t="shared" si="9"/>
        <v>0</v>
      </c>
      <c r="W26" s="446">
        <f t="shared" si="9"/>
        <v>0</v>
      </c>
      <c r="X26" s="446">
        <f t="shared" si="9"/>
        <v>0</v>
      </c>
      <c r="Y26" s="446">
        <f t="shared" si="9"/>
        <v>0</v>
      </c>
      <c r="Z26" s="446">
        <f t="shared" si="9"/>
        <v>0</v>
      </c>
      <c r="AA26" s="446">
        <f t="shared" si="9"/>
        <v>0</v>
      </c>
      <c r="AB26" s="446">
        <f t="shared" si="9"/>
        <v>0</v>
      </c>
      <c r="AC26" s="446">
        <f t="shared" si="9"/>
        <v>0</v>
      </c>
      <c r="AD26" s="446">
        <f t="shared" si="9"/>
        <v>0</v>
      </c>
      <c r="AE26" s="446">
        <f t="shared" si="9"/>
        <v>0</v>
      </c>
      <c r="AF26" s="446">
        <f t="shared" si="10"/>
        <v>0</v>
      </c>
      <c r="AG26" s="446">
        <f t="shared" si="10"/>
        <v>0</v>
      </c>
      <c r="AH26" s="446">
        <f t="shared" si="10"/>
        <v>0</v>
      </c>
      <c r="AI26" s="446">
        <f t="shared" si="10"/>
        <v>0</v>
      </c>
      <c r="AJ26" s="446">
        <f t="shared" si="10"/>
        <v>0</v>
      </c>
      <c r="AK26" s="446">
        <f t="shared" si="10"/>
        <v>0</v>
      </c>
      <c r="AL26" s="446">
        <f t="shared" si="10"/>
        <v>0</v>
      </c>
      <c r="AM26" s="446">
        <f>SUM(טבלה17[[#This Row],[1]:[27]])</f>
        <v>0</v>
      </c>
      <c r="AN26" s="447">
        <f>ROUNDUP(טבלה17[[#This Row],[סה"כ]]/15,0)</f>
        <v>0</v>
      </c>
      <c r="AO26" s="220"/>
      <c r="AP26" s="471"/>
    </row>
    <row r="27" spans="1:44" ht="16.5" customHeight="1">
      <c r="A27" s="440" t="s">
        <v>714</v>
      </c>
      <c r="B27" s="440" t="s">
        <v>574</v>
      </c>
      <c r="C27" s="427" t="e">
        <f>SUMIF([2]!טבלה21[מקט],B27,[2]!טבלה21[מחיר ליח''])</f>
        <v>#REF!</v>
      </c>
      <c r="D27" s="440">
        <v>1</v>
      </c>
      <c r="E27" s="427" t="e">
        <f t="shared" si="3"/>
        <v>#REF!</v>
      </c>
      <c r="F27" s="441">
        <v>0.17</v>
      </c>
      <c r="G27" s="442" t="e">
        <f t="shared" si="4"/>
        <v>#REF!</v>
      </c>
      <c r="H27" s="443" t="e">
        <f>(G27+E27)*#REF!</f>
        <v>#REF!</v>
      </c>
      <c r="I27" s="440" t="s">
        <v>32</v>
      </c>
      <c r="J27" s="444" t="s">
        <v>729</v>
      </c>
      <c r="K27" s="472">
        <f>1.2</f>
        <v>1.2</v>
      </c>
      <c r="L27" s="446">
        <f t="shared" ref="L27:U29" si="11">ROUNDUP($K27*L$6,0)</f>
        <v>0</v>
      </c>
      <c r="M27" s="446">
        <f t="shared" si="11"/>
        <v>0</v>
      </c>
      <c r="N27" s="446">
        <f t="shared" si="11"/>
        <v>0</v>
      </c>
      <c r="O27" s="446">
        <f t="shared" si="11"/>
        <v>0</v>
      </c>
      <c r="P27" s="446">
        <f t="shared" si="11"/>
        <v>0</v>
      </c>
      <c r="Q27" s="446">
        <f t="shared" si="11"/>
        <v>0</v>
      </c>
      <c r="R27" s="446">
        <f t="shared" si="11"/>
        <v>0</v>
      </c>
      <c r="S27" s="446">
        <f t="shared" si="11"/>
        <v>0</v>
      </c>
      <c r="T27" s="446">
        <f t="shared" si="11"/>
        <v>0</v>
      </c>
      <c r="U27" s="446">
        <f t="shared" si="11"/>
        <v>0</v>
      </c>
      <c r="V27" s="446">
        <f t="shared" ref="V27:AE29" si="12">ROUNDUP($K27*V$6,0)</f>
        <v>0</v>
      </c>
      <c r="W27" s="446">
        <f t="shared" si="12"/>
        <v>0</v>
      </c>
      <c r="X27" s="446">
        <f t="shared" si="12"/>
        <v>0</v>
      </c>
      <c r="Y27" s="446">
        <f t="shared" si="12"/>
        <v>0</v>
      </c>
      <c r="Z27" s="446">
        <f t="shared" si="12"/>
        <v>0</v>
      </c>
      <c r="AA27" s="446">
        <f t="shared" si="12"/>
        <v>0</v>
      </c>
      <c r="AB27" s="446">
        <f t="shared" si="12"/>
        <v>0</v>
      </c>
      <c r="AC27" s="446">
        <f t="shared" si="12"/>
        <v>0</v>
      </c>
      <c r="AD27" s="446">
        <f t="shared" si="12"/>
        <v>0</v>
      </c>
      <c r="AE27" s="446">
        <f t="shared" si="12"/>
        <v>0</v>
      </c>
      <c r="AF27" s="446">
        <f t="shared" ref="AF27:AL29" si="13">ROUNDUP($K27*AF$6,0)</f>
        <v>0</v>
      </c>
      <c r="AG27" s="446">
        <f t="shared" si="13"/>
        <v>0</v>
      </c>
      <c r="AH27" s="446">
        <f t="shared" si="13"/>
        <v>0</v>
      </c>
      <c r="AI27" s="446">
        <f t="shared" si="13"/>
        <v>0</v>
      </c>
      <c r="AJ27" s="446">
        <f t="shared" si="13"/>
        <v>0</v>
      </c>
      <c r="AK27" s="446">
        <f t="shared" si="13"/>
        <v>0</v>
      </c>
      <c r="AL27" s="446">
        <f t="shared" si="13"/>
        <v>0</v>
      </c>
      <c r="AM27" s="446">
        <f>SUM(טבלה17[[#This Row],[1]:[27]])</f>
        <v>0</v>
      </c>
      <c r="AN27" s="447">
        <f>CEILING(טבלה17[[#This Row],[סה"כ]],100)</f>
        <v>0</v>
      </c>
      <c r="AO27" s="190"/>
      <c r="AP27" s="466"/>
    </row>
    <row r="28" spans="1:44" s="219" customFormat="1" ht="16.5" customHeight="1">
      <c r="A28" s="440" t="s">
        <v>714</v>
      </c>
      <c r="B28" s="440" t="s">
        <v>575</v>
      </c>
      <c r="C28" s="427" t="e">
        <f>SUMIF([2]!טבלה21[מקט],B28,[2]!טבלה21[מחיר ליח''])</f>
        <v>#REF!</v>
      </c>
      <c r="D28" s="440">
        <v>1</v>
      </c>
      <c r="E28" s="427" t="e">
        <f t="shared" si="3"/>
        <v>#REF!</v>
      </c>
      <c r="F28" s="441">
        <v>0.17</v>
      </c>
      <c r="G28" s="442" t="e">
        <f t="shared" si="4"/>
        <v>#REF!</v>
      </c>
      <c r="H28" s="443" t="e">
        <f>(G28+E28)*#REF!</f>
        <v>#REF!</v>
      </c>
      <c r="I28" s="440" t="s">
        <v>33</v>
      </c>
      <c r="J28" s="444" t="s">
        <v>729</v>
      </c>
      <c r="K28" s="472">
        <v>1.2</v>
      </c>
      <c r="L28" s="446">
        <f t="shared" si="11"/>
        <v>0</v>
      </c>
      <c r="M28" s="446">
        <f t="shared" si="11"/>
        <v>0</v>
      </c>
      <c r="N28" s="446">
        <f t="shared" si="11"/>
        <v>0</v>
      </c>
      <c r="O28" s="446">
        <f t="shared" si="11"/>
        <v>0</v>
      </c>
      <c r="P28" s="446">
        <f t="shared" si="11"/>
        <v>0</v>
      </c>
      <c r="Q28" s="446">
        <f t="shared" si="11"/>
        <v>0</v>
      </c>
      <c r="R28" s="446">
        <f t="shared" si="11"/>
        <v>0</v>
      </c>
      <c r="S28" s="446">
        <f t="shared" si="11"/>
        <v>0</v>
      </c>
      <c r="T28" s="446">
        <f t="shared" si="11"/>
        <v>0</v>
      </c>
      <c r="U28" s="446">
        <f t="shared" si="11"/>
        <v>0</v>
      </c>
      <c r="V28" s="446">
        <f t="shared" si="12"/>
        <v>0</v>
      </c>
      <c r="W28" s="446">
        <f t="shared" si="12"/>
        <v>0</v>
      </c>
      <c r="X28" s="446">
        <f t="shared" si="12"/>
        <v>0</v>
      </c>
      <c r="Y28" s="446">
        <f t="shared" si="12"/>
        <v>0</v>
      </c>
      <c r="Z28" s="446">
        <f t="shared" si="12"/>
        <v>0</v>
      </c>
      <c r="AA28" s="446">
        <f t="shared" si="12"/>
        <v>0</v>
      </c>
      <c r="AB28" s="446">
        <f t="shared" si="12"/>
        <v>0</v>
      </c>
      <c r="AC28" s="446">
        <f t="shared" si="12"/>
        <v>0</v>
      </c>
      <c r="AD28" s="446">
        <f t="shared" si="12"/>
        <v>0</v>
      </c>
      <c r="AE28" s="446">
        <f t="shared" si="12"/>
        <v>0</v>
      </c>
      <c r="AF28" s="446">
        <f t="shared" si="13"/>
        <v>0</v>
      </c>
      <c r="AG28" s="446">
        <f t="shared" si="13"/>
        <v>0</v>
      </c>
      <c r="AH28" s="446">
        <f t="shared" si="13"/>
        <v>0</v>
      </c>
      <c r="AI28" s="446">
        <f t="shared" si="13"/>
        <v>0</v>
      </c>
      <c r="AJ28" s="446">
        <f t="shared" si="13"/>
        <v>0</v>
      </c>
      <c r="AK28" s="446">
        <f t="shared" si="13"/>
        <v>0</v>
      </c>
      <c r="AL28" s="446">
        <f t="shared" si="13"/>
        <v>0</v>
      </c>
      <c r="AM28" s="446">
        <f>SUM(טבלה17[[#This Row],[1]:[27]])</f>
        <v>0</v>
      </c>
      <c r="AN28" s="447">
        <f>CEILING(טבלה17[[#This Row],[סה"כ]],100)</f>
        <v>0</v>
      </c>
      <c r="AO28" s="220"/>
      <c r="AP28" s="471"/>
    </row>
    <row r="29" spans="1:44" ht="16.5" customHeight="1">
      <c r="A29" s="440" t="s">
        <v>714</v>
      </c>
      <c r="B29" s="440" t="s">
        <v>570</v>
      </c>
      <c r="C29" s="427" t="e">
        <f>SUMIF([2]!טבלה21[מקט],B29,[2]!טבלה21[מחיר ליח''])</f>
        <v>#REF!</v>
      </c>
      <c r="D29" s="440">
        <v>1</v>
      </c>
      <c r="E29" s="427" t="e">
        <f t="shared" si="3"/>
        <v>#REF!</v>
      </c>
      <c r="F29" s="441">
        <v>0.17</v>
      </c>
      <c r="G29" s="442" t="e">
        <f t="shared" si="4"/>
        <v>#REF!</v>
      </c>
      <c r="H29" s="443" t="e">
        <f>(G29+E29)*#REF!</f>
        <v>#REF!</v>
      </c>
      <c r="I29" s="440" t="s">
        <v>29</v>
      </c>
      <c r="J29" s="444" t="s">
        <v>729</v>
      </c>
      <c r="K29" s="472">
        <v>1.2</v>
      </c>
      <c r="L29" s="446">
        <f t="shared" si="11"/>
        <v>0</v>
      </c>
      <c r="M29" s="446">
        <f t="shared" si="11"/>
        <v>0</v>
      </c>
      <c r="N29" s="446">
        <f t="shared" si="11"/>
        <v>0</v>
      </c>
      <c r="O29" s="446">
        <f t="shared" si="11"/>
        <v>0</v>
      </c>
      <c r="P29" s="446">
        <f t="shared" si="11"/>
        <v>0</v>
      </c>
      <c r="Q29" s="446">
        <f t="shared" si="11"/>
        <v>0</v>
      </c>
      <c r="R29" s="446">
        <f t="shared" si="11"/>
        <v>0</v>
      </c>
      <c r="S29" s="446">
        <f t="shared" si="11"/>
        <v>0</v>
      </c>
      <c r="T29" s="446">
        <f t="shared" si="11"/>
        <v>0</v>
      </c>
      <c r="U29" s="446">
        <f t="shared" si="11"/>
        <v>0</v>
      </c>
      <c r="V29" s="446">
        <f t="shared" si="12"/>
        <v>0</v>
      </c>
      <c r="W29" s="446">
        <f t="shared" si="12"/>
        <v>0</v>
      </c>
      <c r="X29" s="446">
        <f t="shared" si="12"/>
        <v>0</v>
      </c>
      <c r="Y29" s="446">
        <f t="shared" si="12"/>
        <v>0</v>
      </c>
      <c r="Z29" s="446">
        <f t="shared" si="12"/>
        <v>0</v>
      </c>
      <c r="AA29" s="446">
        <f t="shared" si="12"/>
        <v>0</v>
      </c>
      <c r="AB29" s="446">
        <f t="shared" si="12"/>
        <v>0</v>
      </c>
      <c r="AC29" s="446">
        <f t="shared" si="12"/>
        <v>0</v>
      </c>
      <c r="AD29" s="446">
        <f t="shared" si="12"/>
        <v>0</v>
      </c>
      <c r="AE29" s="446">
        <f t="shared" si="12"/>
        <v>0</v>
      </c>
      <c r="AF29" s="446">
        <f t="shared" si="13"/>
        <v>0</v>
      </c>
      <c r="AG29" s="446">
        <f t="shared" si="13"/>
        <v>0</v>
      </c>
      <c r="AH29" s="446">
        <f t="shared" si="13"/>
        <v>0</v>
      </c>
      <c r="AI29" s="446">
        <f t="shared" si="13"/>
        <v>0</v>
      </c>
      <c r="AJ29" s="446">
        <f t="shared" si="13"/>
        <v>0</v>
      </c>
      <c r="AK29" s="446">
        <f t="shared" si="13"/>
        <v>0</v>
      </c>
      <c r="AL29" s="446">
        <f t="shared" si="13"/>
        <v>0</v>
      </c>
      <c r="AM29" s="446">
        <f>SUM(טבלה17[[#This Row],[1]:[27]])</f>
        <v>0</v>
      </c>
      <c r="AN29" s="447">
        <f>CEILING(טבלה17[[#This Row],[סה"כ]],25)</f>
        <v>0</v>
      </c>
      <c r="AO29" s="190"/>
      <c r="AP29" s="466"/>
    </row>
    <row r="30" spans="1:44" s="219" customFormat="1" ht="16.5" customHeight="1">
      <c r="A30" s="440" t="s">
        <v>714</v>
      </c>
      <c r="B30" s="440" t="s">
        <v>577</v>
      </c>
      <c r="C30" s="427" t="e">
        <f>SUMIF([2]!טבלה21[מקט],B30,[2]!טבלה21[מחיר ליח''])</f>
        <v>#REF!</v>
      </c>
      <c r="D30" s="440">
        <v>1</v>
      </c>
      <c r="E30" s="427" t="e">
        <f t="shared" si="3"/>
        <v>#REF!</v>
      </c>
      <c r="F30" s="441">
        <v>0.17</v>
      </c>
      <c r="G30" s="442" t="e">
        <f t="shared" si="4"/>
        <v>#REF!</v>
      </c>
      <c r="H30" s="443" t="e">
        <f>(G30+E30)*#REF!</f>
        <v>#REF!</v>
      </c>
      <c r="I30" s="440" t="s">
        <v>34</v>
      </c>
      <c r="J30" s="444" t="s">
        <v>730</v>
      </c>
      <c r="K30" s="450">
        <v>2</v>
      </c>
      <c r="L30" s="446">
        <f t="shared" ref="L30:U33" si="14">IF(L$6&gt;0,$K30,0)</f>
        <v>0</v>
      </c>
      <c r="M30" s="446">
        <f t="shared" si="14"/>
        <v>0</v>
      </c>
      <c r="N30" s="446">
        <f t="shared" si="14"/>
        <v>0</v>
      </c>
      <c r="O30" s="446">
        <f t="shared" si="14"/>
        <v>0</v>
      </c>
      <c r="P30" s="446">
        <f t="shared" si="14"/>
        <v>0</v>
      </c>
      <c r="Q30" s="446">
        <f t="shared" si="14"/>
        <v>0</v>
      </c>
      <c r="R30" s="446">
        <f t="shared" si="14"/>
        <v>0</v>
      </c>
      <c r="S30" s="446">
        <f t="shared" si="14"/>
        <v>0</v>
      </c>
      <c r="T30" s="446">
        <f t="shared" si="14"/>
        <v>0</v>
      </c>
      <c r="U30" s="446">
        <f t="shared" si="14"/>
        <v>0</v>
      </c>
      <c r="V30" s="446">
        <f t="shared" ref="V30:AE33" si="15">IF(V$6&gt;0,$K30,0)</f>
        <v>0</v>
      </c>
      <c r="W30" s="446">
        <f t="shared" si="15"/>
        <v>0</v>
      </c>
      <c r="X30" s="446">
        <f t="shared" si="15"/>
        <v>0</v>
      </c>
      <c r="Y30" s="446">
        <f t="shared" si="15"/>
        <v>0</v>
      </c>
      <c r="Z30" s="446">
        <f t="shared" si="15"/>
        <v>0</v>
      </c>
      <c r="AA30" s="446">
        <f t="shared" si="15"/>
        <v>0</v>
      </c>
      <c r="AB30" s="446">
        <f t="shared" si="15"/>
        <v>0</v>
      </c>
      <c r="AC30" s="446">
        <f t="shared" si="15"/>
        <v>0</v>
      </c>
      <c r="AD30" s="446">
        <f t="shared" si="15"/>
        <v>0</v>
      </c>
      <c r="AE30" s="446">
        <f t="shared" si="15"/>
        <v>0</v>
      </c>
      <c r="AF30" s="446">
        <f t="shared" ref="AF30:AL33" si="16">IF(AF$6&gt;0,$K30,0)</f>
        <v>0</v>
      </c>
      <c r="AG30" s="446">
        <f t="shared" si="16"/>
        <v>0</v>
      </c>
      <c r="AH30" s="446">
        <f t="shared" si="16"/>
        <v>0</v>
      </c>
      <c r="AI30" s="446">
        <f t="shared" si="16"/>
        <v>0</v>
      </c>
      <c r="AJ30" s="446">
        <f t="shared" si="16"/>
        <v>0</v>
      </c>
      <c r="AK30" s="446">
        <f t="shared" si="16"/>
        <v>0</v>
      </c>
      <c r="AL30" s="446">
        <f t="shared" si="16"/>
        <v>0</v>
      </c>
      <c r="AM30" s="446">
        <f>SUM(טבלה17[[#This Row],[1]:[27]])</f>
        <v>0</v>
      </c>
      <c r="AN30" s="447">
        <f>CEILING(טבלה17[[#This Row],[סה"כ]],25)</f>
        <v>0</v>
      </c>
      <c r="AO30" s="220"/>
      <c r="AP30" s="471"/>
      <c r="AR30" s="452"/>
    </row>
    <row r="31" spans="1:44" ht="16.5" customHeight="1">
      <c r="A31" s="440" t="s">
        <v>714</v>
      </c>
      <c r="B31" s="440" t="s">
        <v>578</v>
      </c>
      <c r="C31" s="427" t="e">
        <f>SUMIF([2]!טבלה21[מקט],B31,[2]!טבלה21[מחיר ליח''])</f>
        <v>#REF!</v>
      </c>
      <c r="D31" s="440">
        <v>1</v>
      </c>
      <c r="E31" s="427" t="e">
        <f t="shared" si="3"/>
        <v>#REF!</v>
      </c>
      <c r="F31" s="441">
        <v>0.17</v>
      </c>
      <c r="G31" s="442" t="e">
        <f t="shared" si="4"/>
        <v>#REF!</v>
      </c>
      <c r="H31" s="443" t="e">
        <f>(G31+E31)*#REF!</f>
        <v>#REF!</v>
      </c>
      <c r="I31" s="440" t="s">
        <v>731</v>
      </c>
      <c r="J31" s="444" t="s">
        <v>691</v>
      </c>
      <c r="K31" s="450">
        <v>8</v>
      </c>
      <c r="L31" s="446">
        <f t="shared" si="14"/>
        <v>0</v>
      </c>
      <c r="M31" s="446">
        <f t="shared" si="14"/>
        <v>0</v>
      </c>
      <c r="N31" s="446">
        <f t="shared" si="14"/>
        <v>0</v>
      </c>
      <c r="O31" s="446">
        <f t="shared" si="14"/>
        <v>0</v>
      </c>
      <c r="P31" s="446">
        <f t="shared" si="14"/>
        <v>0</v>
      </c>
      <c r="Q31" s="446">
        <f t="shared" si="14"/>
        <v>0</v>
      </c>
      <c r="R31" s="446">
        <f t="shared" si="14"/>
        <v>0</v>
      </c>
      <c r="S31" s="446">
        <f t="shared" si="14"/>
        <v>0</v>
      </c>
      <c r="T31" s="446">
        <f t="shared" si="14"/>
        <v>0</v>
      </c>
      <c r="U31" s="446">
        <f t="shared" si="14"/>
        <v>0</v>
      </c>
      <c r="V31" s="446">
        <f t="shared" si="15"/>
        <v>0</v>
      </c>
      <c r="W31" s="446">
        <f t="shared" si="15"/>
        <v>0</v>
      </c>
      <c r="X31" s="446">
        <f t="shared" si="15"/>
        <v>0</v>
      </c>
      <c r="Y31" s="446">
        <f t="shared" si="15"/>
        <v>0</v>
      </c>
      <c r="Z31" s="446">
        <f t="shared" si="15"/>
        <v>0</v>
      </c>
      <c r="AA31" s="446">
        <f t="shared" si="15"/>
        <v>0</v>
      </c>
      <c r="AB31" s="446">
        <f t="shared" si="15"/>
        <v>0</v>
      </c>
      <c r="AC31" s="446">
        <f t="shared" si="15"/>
        <v>0</v>
      </c>
      <c r="AD31" s="446">
        <f t="shared" si="15"/>
        <v>0</v>
      </c>
      <c r="AE31" s="446">
        <f t="shared" si="15"/>
        <v>0</v>
      </c>
      <c r="AF31" s="446">
        <f t="shared" si="16"/>
        <v>0</v>
      </c>
      <c r="AG31" s="446">
        <f t="shared" si="16"/>
        <v>0</v>
      </c>
      <c r="AH31" s="446">
        <f t="shared" si="16"/>
        <v>0</v>
      </c>
      <c r="AI31" s="446">
        <f t="shared" si="16"/>
        <v>0</v>
      </c>
      <c r="AJ31" s="446">
        <f t="shared" si="16"/>
        <v>0</v>
      </c>
      <c r="AK31" s="446">
        <f t="shared" si="16"/>
        <v>0</v>
      </c>
      <c r="AL31" s="446">
        <f t="shared" si="16"/>
        <v>0</v>
      </c>
      <c r="AM31" s="446">
        <f>SUM(טבלה17[[#This Row],[1]:[27]])</f>
        <v>0</v>
      </c>
      <c r="AN31" s="447">
        <f>CEILING(טבלה17[[#This Row],[סה"כ]],100)</f>
        <v>0</v>
      </c>
      <c r="AO31" s="190"/>
      <c r="AP31" s="466"/>
    </row>
    <row r="32" spans="1:44" s="219" customFormat="1" ht="16.5" customHeight="1">
      <c r="A32" s="440" t="s">
        <v>714</v>
      </c>
      <c r="B32" s="440" t="s">
        <v>580</v>
      </c>
      <c r="C32" s="427" t="e">
        <f>SUMIF([2]!טבלה6[קוד מוצר],B32,[2]!טבלה6[מחיר לקוח])</f>
        <v>#REF!</v>
      </c>
      <c r="D32" s="440">
        <v>1</v>
      </c>
      <c r="E32" s="427" t="e">
        <f t="shared" si="3"/>
        <v>#REF!</v>
      </c>
      <c r="F32" s="441">
        <v>0.17</v>
      </c>
      <c r="G32" s="442" t="e">
        <f t="shared" si="4"/>
        <v>#REF!</v>
      </c>
      <c r="H32" s="443" t="e">
        <f>(G32+E32)*#REF!</f>
        <v>#REF!</v>
      </c>
      <c r="I32" s="440" t="s">
        <v>37</v>
      </c>
      <c r="J32" s="444" t="s">
        <v>732</v>
      </c>
      <c r="K32" s="450">
        <v>1</v>
      </c>
      <c r="L32" s="446">
        <f t="shared" si="14"/>
        <v>0</v>
      </c>
      <c r="M32" s="446">
        <f t="shared" si="14"/>
        <v>0</v>
      </c>
      <c r="N32" s="446">
        <f t="shared" si="14"/>
        <v>0</v>
      </c>
      <c r="O32" s="446">
        <f t="shared" si="14"/>
        <v>0</v>
      </c>
      <c r="P32" s="446">
        <f t="shared" si="14"/>
        <v>0</v>
      </c>
      <c r="Q32" s="446">
        <f t="shared" si="14"/>
        <v>0</v>
      </c>
      <c r="R32" s="446">
        <f t="shared" si="14"/>
        <v>0</v>
      </c>
      <c r="S32" s="446">
        <f t="shared" si="14"/>
        <v>0</v>
      </c>
      <c r="T32" s="446">
        <f t="shared" si="14"/>
        <v>0</v>
      </c>
      <c r="U32" s="446">
        <f t="shared" si="14"/>
        <v>0</v>
      </c>
      <c r="V32" s="446">
        <f t="shared" si="15"/>
        <v>0</v>
      </c>
      <c r="W32" s="446">
        <f t="shared" si="15"/>
        <v>0</v>
      </c>
      <c r="X32" s="446">
        <f t="shared" si="15"/>
        <v>0</v>
      </c>
      <c r="Y32" s="446">
        <f t="shared" si="15"/>
        <v>0</v>
      </c>
      <c r="Z32" s="446">
        <f t="shared" si="15"/>
        <v>0</v>
      </c>
      <c r="AA32" s="446">
        <f t="shared" si="15"/>
        <v>0</v>
      </c>
      <c r="AB32" s="446">
        <f t="shared" si="15"/>
        <v>0</v>
      </c>
      <c r="AC32" s="446">
        <f t="shared" si="15"/>
        <v>0</v>
      </c>
      <c r="AD32" s="446">
        <f t="shared" si="15"/>
        <v>0</v>
      </c>
      <c r="AE32" s="446">
        <f t="shared" si="15"/>
        <v>0</v>
      </c>
      <c r="AF32" s="446">
        <f t="shared" si="16"/>
        <v>0</v>
      </c>
      <c r="AG32" s="446">
        <f t="shared" si="16"/>
        <v>0</v>
      </c>
      <c r="AH32" s="446">
        <f t="shared" si="16"/>
        <v>0</v>
      </c>
      <c r="AI32" s="446">
        <f t="shared" si="16"/>
        <v>0</v>
      </c>
      <c r="AJ32" s="446">
        <f t="shared" si="16"/>
        <v>0</v>
      </c>
      <c r="AK32" s="446">
        <f t="shared" si="16"/>
        <v>0</v>
      </c>
      <c r="AL32" s="446">
        <f t="shared" si="16"/>
        <v>0</v>
      </c>
      <c r="AM32" s="446">
        <f>SUM(טבלה17[[#This Row],[1]:[27]])</f>
        <v>0</v>
      </c>
      <c r="AN32" s="447">
        <f>טבלה17[[#This Row],[סה"כ]]</f>
        <v>0</v>
      </c>
      <c r="AO32" s="220"/>
      <c r="AP32" s="471"/>
      <c r="AR32" s="222"/>
    </row>
    <row r="33" spans="1:54" ht="16.5" customHeight="1">
      <c r="A33" s="440" t="s">
        <v>714</v>
      </c>
      <c r="B33" s="440" t="s">
        <v>584</v>
      </c>
      <c r="C33" s="427" t="e">
        <f>SUMIF([2]!טבלה6[קוד מוצר],B33,[2]!טבלה6[מחיר לקוח])</f>
        <v>#REF!</v>
      </c>
      <c r="D33" s="440">
        <v>1</v>
      </c>
      <c r="E33" s="427" t="e">
        <f t="shared" si="3"/>
        <v>#REF!</v>
      </c>
      <c r="F33" s="441">
        <v>0.17</v>
      </c>
      <c r="G33" s="442" t="e">
        <f t="shared" si="4"/>
        <v>#REF!</v>
      </c>
      <c r="H33" s="443" t="e">
        <f>(G33+E33)*#REF!</f>
        <v>#REF!</v>
      </c>
      <c r="I33" s="440" t="s">
        <v>522</v>
      </c>
      <c r="J33" s="444" t="s">
        <v>726</v>
      </c>
      <c r="K33" s="450">
        <v>1</v>
      </c>
      <c r="L33" s="446">
        <f t="shared" si="14"/>
        <v>0</v>
      </c>
      <c r="M33" s="446">
        <f t="shared" si="14"/>
        <v>0</v>
      </c>
      <c r="N33" s="446">
        <f t="shared" si="14"/>
        <v>0</v>
      </c>
      <c r="O33" s="446">
        <f t="shared" si="14"/>
        <v>0</v>
      </c>
      <c r="P33" s="446">
        <f t="shared" si="14"/>
        <v>0</v>
      </c>
      <c r="Q33" s="446">
        <f t="shared" si="14"/>
        <v>0</v>
      </c>
      <c r="R33" s="446">
        <f t="shared" si="14"/>
        <v>0</v>
      </c>
      <c r="S33" s="446">
        <f t="shared" si="14"/>
        <v>0</v>
      </c>
      <c r="T33" s="446">
        <f t="shared" si="14"/>
        <v>0</v>
      </c>
      <c r="U33" s="446">
        <f t="shared" si="14"/>
        <v>0</v>
      </c>
      <c r="V33" s="446">
        <f t="shared" si="15"/>
        <v>0</v>
      </c>
      <c r="W33" s="446">
        <f t="shared" si="15"/>
        <v>0</v>
      </c>
      <c r="X33" s="446">
        <f t="shared" si="15"/>
        <v>0</v>
      </c>
      <c r="Y33" s="446">
        <f t="shared" si="15"/>
        <v>0</v>
      </c>
      <c r="Z33" s="446">
        <f t="shared" si="15"/>
        <v>0</v>
      </c>
      <c r="AA33" s="446">
        <f t="shared" si="15"/>
        <v>0</v>
      </c>
      <c r="AB33" s="446">
        <f t="shared" si="15"/>
        <v>0</v>
      </c>
      <c r="AC33" s="446">
        <f t="shared" si="15"/>
        <v>0</v>
      </c>
      <c r="AD33" s="446">
        <f t="shared" si="15"/>
        <v>0</v>
      </c>
      <c r="AE33" s="446">
        <f t="shared" si="15"/>
        <v>0</v>
      </c>
      <c r="AF33" s="446">
        <f t="shared" si="16"/>
        <v>0</v>
      </c>
      <c r="AG33" s="446">
        <f t="shared" si="16"/>
        <v>0</v>
      </c>
      <c r="AH33" s="446">
        <f t="shared" si="16"/>
        <v>0</v>
      </c>
      <c r="AI33" s="446">
        <f t="shared" si="16"/>
        <v>0</v>
      </c>
      <c r="AJ33" s="446">
        <f t="shared" si="16"/>
        <v>0</v>
      </c>
      <c r="AK33" s="446">
        <f t="shared" si="16"/>
        <v>0</v>
      </c>
      <c r="AL33" s="446">
        <f t="shared" si="16"/>
        <v>0</v>
      </c>
      <c r="AM33" s="446">
        <f>SUM(טבלה17[[#This Row],[1]:[27]])</f>
        <v>0</v>
      </c>
      <c r="AN33" s="447">
        <f>ROUNDUP(טבלה17[[#This Row],[סה"כ]]/16,0)</f>
        <v>0</v>
      </c>
      <c r="AO33" s="190"/>
      <c r="AP33" s="466"/>
    </row>
    <row r="34" spans="1:54" ht="16.5" customHeight="1">
      <c r="A34" s="440"/>
      <c r="B34" s="440"/>
      <c r="C34" s="427"/>
      <c r="D34" s="440"/>
      <c r="E34" s="427"/>
      <c r="F34" s="441"/>
      <c r="G34" s="442"/>
      <c r="H34" s="443"/>
      <c r="I34" s="440"/>
      <c r="J34" s="444"/>
      <c r="K34" s="450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7"/>
      <c r="AO34" s="190"/>
      <c r="AP34" s="466"/>
    </row>
    <row r="35" spans="1:54" ht="16.5" customHeight="1">
      <c r="A35" s="440"/>
      <c r="B35" s="440"/>
      <c r="C35" s="427"/>
      <c r="D35" s="440"/>
      <c r="E35" s="427"/>
      <c r="F35" s="441"/>
      <c r="G35" s="442"/>
      <c r="H35" s="443"/>
      <c r="I35" s="440"/>
      <c r="J35" s="444"/>
      <c r="K35" s="450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7"/>
      <c r="AO35" s="190"/>
      <c r="AP35" s="466"/>
    </row>
    <row r="36" spans="1:54" ht="16.5" customHeight="1">
      <c r="A36" s="440"/>
      <c r="B36" s="440"/>
      <c r="C36" s="427"/>
      <c r="D36" s="440"/>
      <c r="E36" s="427"/>
      <c r="F36" s="441"/>
      <c r="G36" s="442"/>
      <c r="H36" s="443"/>
      <c r="I36" s="440"/>
      <c r="J36" s="444"/>
      <c r="K36" s="450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7"/>
      <c r="AO36" s="190"/>
      <c r="AP36" s="466"/>
    </row>
    <row r="37" spans="1:54" ht="16.5" customHeight="1">
      <c r="A37" s="440"/>
      <c r="B37" s="440"/>
      <c r="C37" s="427"/>
      <c r="D37" s="440"/>
      <c r="E37" s="427"/>
      <c r="F37" s="441"/>
      <c r="G37" s="442"/>
      <c r="H37" s="443"/>
      <c r="I37" s="440"/>
      <c r="J37" s="444"/>
      <c r="K37" s="450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7"/>
      <c r="AO37" s="190"/>
      <c r="AP37" s="466"/>
    </row>
    <row r="38" spans="1:54" ht="15.6">
      <c r="J38" s="768" t="s">
        <v>630</v>
      </c>
      <c r="K38" s="769"/>
      <c r="L38" s="769"/>
      <c r="M38" s="769"/>
      <c r="N38" s="769"/>
      <c r="O38" s="769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769"/>
      <c r="AA38" s="769"/>
      <c r="AB38" s="769"/>
      <c r="AC38" s="769"/>
      <c r="AD38" s="769"/>
      <c r="AE38" s="769"/>
      <c r="AF38" s="769"/>
      <c r="AG38" s="769"/>
      <c r="AH38" s="769"/>
      <c r="AI38" s="769"/>
      <c r="AJ38" s="769"/>
      <c r="AK38" s="769"/>
      <c r="AL38" s="769"/>
      <c r="AM38" s="769"/>
      <c r="AN38" s="769"/>
    </row>
    <row r="39" spans="1:54" ht="16.5" customHeight="1">
      <c r="A39" s="426"/>
      <c r="B39" s="426"/>
      <c r="C39" s="426"/>
      <c r="D39" s="426"/>
      <c r="E39" s="426"/>
      <c r="F39" s="426"/>
      <c r="G39" s="426"/>
      <c r="H39" s="427"/>
      <c r="I39" s="428"/>
      <c r="J39" s="429" t="s">
        <v>175</v>
      </c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8"/>
      <c r="BA39" s="190"/>
      <c r="BB39" s="466"/>
    </row>
    <row r="40" spans="1:54" ht="14.4">
      <c r="A40" s="426"/>
      <c r="B40" s="426"/>
      <c r="C40" s="426"/>
      <c r="D40" s="426"/>
      <c r="E40" s="426"/>
      <c r="F40" s="426"/>
      <c r="G40" s="426"/>
      <c r="H40" s="427"/>
      <c r="I40" s="428"/>
      <c r="J40" s="429" t="s">
        <v>445</v>
      </c>
      <c r="K40" s="430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29"/>
      <c r="AO40" s="190"/>
      <c r="AP40" s="466"/>
    </row>
    <row r="41" spans="1:54" ht="16.5" customHeight="1">
      <c r="A41" s="426"/>
      <c r="B41" s="426"/>
      <c r="C41" s="426"/>
      <c r="D41" s="426"/>
      <c r="E41" s="426"/>
      <c r="F41" s="426"/>
      <c r="G41" s="426"/>
      <c r="H41" s="427"/>
      <c r="I41" s="426"/>
      <c r="J41" s="429" t="s">
        <v>174</v>
      </c>
      <c r="K41" s="430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29"/>
      <c r="AO41" s="190"/>
      <c r="AP41" s="466"/>
    </row>
    <row r="42" spans="1:54" ht="16.5" customHeight="1">
      <c r="A42" s="426"/>
      <c r="B42" s="426"/>
      <c r="C42" s="426"/>
      <c r="D42" s="426"/>
      <c r="E42" s="426"/>
      <c r="F42" s="426"/>
      <c r="G42" s="426"/>
      <c r="H42" s="427"/>
      <c r="I42" s="434"/>
      <c r="J42" s="429" t="s">
        <v>444</v>
      </c>
      <c r="K42" s="430"/>
      <c r="L42" s="430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29">
        <f>SUM(X42:AM42)</f>
        <v>0</v>
      </c>
      <c r="AO42" s="190"/>
      <c r="AP42" s="466"/>
    </row>
    <row r="43" spans="1:54" ht="16.5" customHeight="1">
      <c r="A43" s="426"/>
      <c r="B43" s="426"/>
      <c r="C43" s="426"/>
      <c r="D43" s="426"/>
      <c r="E43" s="426"/>
      <c r="F43" s="426"/>
      <c r="G43" s="426"/>
      <c r="H43" s="435"/>
      <c r="I43" s="434"/>
      <c r="J43" s="429" t="s">
        <v>506</v>
      </c>
      <c r="K43" s="430"/>
      <c r="L43" s="430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29">
        <f>SUM(X43:AM43)</f>
        <v>0</v>
      </c>
      <c r="AO43" s="190"/>
      <c r="AP43" s="466"/>
    </row>
    <row r="44" spans="1:54" ht="16.5" customHeight="1">
      <c r="A44" s="426"/>
      <c r="B44" s="426"/>
      <c r="C44" s="426"/>
      <c r="D44" s="426"/>
      <c r="E44" s="426"/>
      <c r="F44" s="426"/>
      <c r="G44" s="426"/>
      <c r="H44" s="427"/>
      <c r="I44" s="434"/>
      <c r="J44" s="429" t="s">
        <v>173</v>
      </c>
      <c r="K44" s="430"/>
      <c r="L44" s="430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29">
        <f>SUM(X44:AM44)</f>
        <v>0</v>
      </c>
      <c r="AO44" s="190"/>
      <c r="AP44" s="466"/>
    </row>
    <row r="45" spans="1:54" ht="16.5" customHeight="1">
      <c r="A45" s="434"/>
      <c r="B45" s="434"/>
      <c r="C45" s="434"/>
      <c r="D45" s="434"/>
      <c r="E45" s="434"/>
      <c r="F45" s="434"/>
      <c r="G45" s="434"/>
      <c r="H45" s="435"/>
      <c r="I45" s="434"/>
      <c r="J45" s="429" t="s">
        <v>77</v>
      </c>
      <c r="K45" s="430"/>
      <c r="L45" s="430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29">
        <f>SUM(X45:AM45)</f>
        <v>0</v>
      </c>
      <c r="AO45" s="190"/>
      <c r="AP45" s="466"/>
    </row>
    <row r="46" spans="1:54" s="438" customFormat="1" ht="16.5" customHeight="1">
      <c r="A46" s="436" t="s">
        <v>185</v>
      </c>
      <c r="B46" s="436" t="s">
        <v>179</v>
      </c>
      <c r="C46" s="436" t="s">
        <v>568</v>
      </c>
      <c r="D46" s="436" t="s">
        <v>632</v>
      </c>
      <c r="E46" s="436" t="s">
        <v>618</v>
      </c>
      <c r="F46" s="436" t="s">
        <v>621</v>
      </c>
      <c r="G46" s="436" t="s">
        <v>622</v>
      </c>
      <c r="H46" s="437" t="s">
        <v>633</v>
      </c>
      <c r="I46" s="436" t="s">
        <v>16</v>
      </c>
      <c r="J46" s="469" t="s">
        <v>10</v>
      </c>
      <c r="K46" s="436" t="s">
        <v>634</v>
      </c>
      <c r="L46" s="436" t="s">
        <v>635</v>
      </c>
      <c r="M46" s="436" t="s">
        <v>636</v>
      </c>
      <c r="N46" s="436" t="s">
        <v>637</v>
      </c>
      <c r="O46" s="436" t="s">
        <v>638</v>
      </c>
      <c r="P46" s="436" t="s">
        <v>639</v>
      </c>
      <c r="Q46" s="436" t="s">
        <v>640</v>
      </c>
      <c r="R46" s="436" t="s">
        <v>641</v>
      </c>
      <c r="S46" s="436" t="s">
        <v>642</v>
      </c>
      <c r="T46" s="436" t="s">
        <v>643</v>
      </c>
      <c r="U46" s="436" t="s">
        <v>644</v>
      </c>
      <c r="V46" s="436" t="s">
        <v>645</v>
      </c>
      <c r="W46" s="436" t="s">
        <v>646</v>
      </c>
      <c r="X46" s="436" t="s">
        <v>647</v>
      </c>
      <c r="Y46" s="436" t="s">
        <v>648</v>
      </c>
      <c r="Z46" s="436" t="s">
        <v>649</v>
      </c>
      <c r="AA46" s="436" t="s">
        <v>650</v>
      </c>
      <c r="AB46" s="436" t="s">
        <v>651</v>
      </c>
      <c r="AC46" s="436" t="s">
        <v>652</v>
      </c>
      <c r="AD46" s="436" t="s">
        <v>653</v>
      </c>
      <c r="AE46" s="436" t="s">
        <v>654</v>
      </c>
      <c r="AF46" s="436" t="s">
        <v>655</v>
      </c>
      <c r="AG46" s="436" t="s">
        <v>656</v>
      </c>
      <c r="AH46" s="436" t="s">
        <v>657</v>
      </c>
      <c r="AI46" s="436" t="s">
        <v>658</v>
      </c>
      <c r="AJ46" s="436" t="s">
        <v>659</v>
      </c>
      <c r="AK46" s="436" t="s">
        <v>660</v>
      </c>
      <c r="AL46" s="436" t="s">
        <v>661</v>
      </c>
      <c r="AM46" s="436" t="s">
        <v>22</v>
      </c>
      <c r="AN46" s="439" t="s">
        <v>667</v>
      </c>
      <c r="AP46" s="470"/>
    </row>
    <row r="47" spans="1:54" s="483" customFormat="1" ht="16.5" customHeight="1">
      <c r="A47" s="475" t="s">
        <v>733</v>
      </c>
      <c r="B47" s="475">
        <v>957</v>
      </c>
      <c r="C47" s="427" t="e">
        <f>SUMIF([2]!טבלה6[קוד מוצר],B47,[2]!טבלה6[מחיר לקוח])</f>
        <v>#REF!</v>
      </c>
      <c r="D47" s="475">
        <v>20000</v>
      </c>
      <c r="E47" s="427" t="e">
        <f t="shared" si="3"/>
        <v>#REF!</v>
      </c>
      <c r="F47" s="476">
        <v>0.17</v>
      </c>
      <c r="G47" s="442" t="e">
        <f t="shared" si="4"/>
        <v>#REF!</v>
      </c>
      <c r="H47" s="477" t="e">
        <f t="shared" ref="H47:H69" si="17">(G47+E47)*AG47</f>
        <v>#REF!</v>
      </c>
      <c r="I47" s="478" t="s">
        <v>734</v>
      </c>
      <c r="J47" s="473" t="s">
        <v>735</v>
      </c>
      <c r="K47" s="479">
        <v>200</v>
      </c>
      <c r="L47" s="480">
        <f t="shared" ref="L47:AK55" si="18">ROUNDUP($K47*L$42,0)</f>
        <v>0</v>
      </c>
      <c r="M47" s="480">
        <f t="shared" si="18"/>
        <v>0</v>
      </c>
      <c r="N47" s="480">
        <f t="shared" si="18"/>
        <v>0</v>
      </c>
      <c r="O47" s="480">
        <f t="shared" si="18"/>
        <v>0</v>
      </c>
      <c r="P47" s="480">
        <f t="shared" si="18"/>
        <v>0</v>
      </c>
      <c r="Q47" s="480">
        <f t="shared" si="18"/>
        <v>0</v>
      </c>
      <c r="R47" s="480">
        <f t="shared" si="18"/>
        <v>0</v>
      </c>
      <c r="S47" s="480">
        <f t="shared" si="18"/>
        <v>0</v>
      </c>
      <c r="T47" s="480">
        <f t="shared" si="18"/>
        <v>0</v>
      </c>
      <c r="U47" s="480">
        <f t="shared" si="18"/>
        <v>0</v>
      </c>
      <c r="V47" s="480">
        <f t="shared" si="18"/>
        <v>0</v>
      </c>
      <c r="W47" s="480">
        <f t="shared" si="18"/>
        <v>0</v>
      </c>
      <c r="X47" s="480">
        <f t="shared" si="18"/>
        <v>0</v>
      </c>
      <c r="Y47" s="480">
        <f t="shared" si="18"/>
        <v>0</v>
      </c>
      <c r="Z47" s="480">
        <f t="shared" si="18"/>
        <v>0</v>
      </c>
      <c r="AA47" s="480">
        <f t="shared" si="18"/>
        <v>0</v>
      </c>
      <c r="AB47" s="480">
        <f t="shared" si="18"/>
        <v>0</v>
      </c>
      <c r="AC47" s="480">
        <f t="shared" si="18"/>
        <v>0</v>
      </c>
      <c r="AD47" s="480">
        <f t="shared" si="18"/>
        <v>0</v>
      </c>
      <c r="AE47" s="480">
        <f t="shared" si="18"/>
        <v>0</v>
      </c>
      <c r="AF47" s="480">
        <f t="shared" si="18"/>
        <v>0</v>
      </c>
      <c r="AG47" s="480">
        <f t="shared" si="18"/>
        <v>0</v>
      </c>
      <c r="AH47" s="480">
        <f t="shared" si="18"/>
        <v>0</v>
      </c>
      <c r="AI47" s="480">
        <f t="shared" si="18"/>
        <v>0</v>
      </c>
      <c r="AJ47" s="480">
        <f t="shared" si="18"/>
        <v>0</v>
      </c>
      <c r="AK47" s="480">
        <f t="shared" si="18"/>
        <v>0</v>
      </c>
      <c r="AL47" s="480">
        <f>ROUNDUP($K47*AL$42,0)</f>
        <v>0</v>
      </c>
      <c r="AM47" s="480">
        <f>SUM(טבלה20[[#This Row],[1]:[27]])</f>
        <v>0</v>
      </c>
      <c r="AN47" s="447">
        <f>CEILING(טבלה20[[#This Row],[סה"כ]],1000)/1000</f>
        <v>0</v>
      </c>
      <c r="AO47" s="481"/>
      <c r="AP47" s="482"/>
    </row>
    <row r="48" spans="1:54" s="475" customFormat="1" ht="16.5" customHeight="1">
      <c r="A48" s="475" t="s">
        <v>733</v>
      </c>
      <c r="B48" s="475">
        <v>511</v>
      </c>
      <c r="C48" s="427" t="e">
        <f>SUMIF([2]!טבלה6[קוד מוצר],B48,[2]!טבלה6[מחיר לקוח])</f>
        <v>#REF!</v>
      </c>
      <c r="D48" s="475">
        <v>1000</v>
      </c>
      <c r="E48" s="427" t="e">
        <f t="shared" si="3"/>
        <v>#REF!</v>
      </c>
      <c r="F48" s="476">
        <v>0.17</v>
      </c>
      <c r="G48" s="442" t="e">
        <f t="shared" si="4"/>
        <v>#REF!</v>
      </c>
      <c r="H48" s="477" t="e">
        <f t="shared" si="17"/>
        <v>#REF!</v>
      </c>
      <c r="I48" s="478" t="s">
        <v>19</v>
      </c>
      <c r="J48" s="473" t="s">
        <v>736</v>
      </c>
      <c r="K48" s="479">
        <v>120</v>
      </c>
      <c r="L48" s="480">
        <f t="shared" si="18"/>
        <v>0</v>
      </c>
      <c r="M48" s="480">
        <f t="shared" si="18"/>
        <v>0</v>
      </c>
      <c r="N48" s="480">
        <f t="shared" si="18"/>
        <v>0</v>
      </c>
      <c r="O48" s="480">
        <f t="shared" si="18"/>
        <v>0</v>
      </c>
      <c r="P48" s="480">
        <f t="shared" si="18"/>
        <v>0</v>
      </c>
      <c r="Q48" s="480">
        <f t="shared" si="18"/>
        <v>0</v>
      </c>
      <c r="R48" s="480">
        <f t="shared" si="18"/>
        <v>0</v>
      </c>
      <c r="S48" s="480">
        <f t="shared" si="18"/>
        <v>0</v>
      </c>
      <c r="T48" s="480">
        <f t="shared" si="18"/>
        <v>0</v>
      </c>
      <c r="U48" s="480">
        <f t="shared" si="18"/>
        <v>0</v>
      </c>
      <c r="V48" s="480">
        <f t="shared" si="18"/>
        <v>0</v>
      </c>
      <c r="W48" s="480">
        <f t="shared" si="18"/>
        <v>0</v>
      </c>
      <c r="X48" s="480">
        <f t="shared" si="18"/>
        <v>0</v>
      </c>
      <c r="Y48" s="480">
        <f t="shared" si="18"/>
        <v>0</v>
      </c>
      <c r="Z48" s="480">
        <f t="shared" si="18"/>
        <v>0</v>
      </c>
      <c r="AA48" s="480">
        <f t="shared" si="18"/>
        <v>0</v>
      </c>
      <c r="AB48" s="480">
        <f t="shared" si="18"/>
        <v>0</v>
      </c>
      <c r="AC48" s="480">
        <f t="shared" si="18"/>
        <v>0</v>
      </c>
      <c r="AD48" s="480">
        <f t="shared" si="18"/>
        <v>0</v>
      </c>
      <c r="AE48" s="480">
        <f t="shared" si="18"/>
        <v>0</v>
      </c>
      <c r="AF48" s="480">
        <f t="shared" si="18"/>
        <v>0</v>
      </c>
      <c r="AG48" s="480">
        <f t="shared" si="18"/>
        <v>0</v>
      </c>
      <c r="AH48" s="480">
        <f t="shared" si="18"/>
        <v>0</v>
      </c>
      <c r="AI48" s="480">
        <f t="shared" si="18"/>
        <v>0</v>
      </c>
      <c r="AJ48" s="480">
        <f t="shared" si="18"/>
        <v>0</v>
      </c>
      <c r="AK48" s="480">
        <f t="shared" si="18"/>
        <v>0</v>
      </c>
      <c r="AL48" s="480">
        <f>ROUNDUP($K48*AL$42,0)</f>
        <v>0</v>
      </c>
      <c r="AM48" s="480">
        <f>SUM(טבלה20[[#This Row],[1]:[27]])</f>
        <v>0</v>
      </c>
      <c r="AN48" s="447">
        <f>CEILING(טבלה20[[#This Row],[סה"כ]],1000)/1000</f>
        <v>0</v>
      </c>
      <c r="AO48" s="473"/>
      <c r="AP48" s="480"/>
    </row>
    <row r="49" spans="1:42" s="483" customFormat="1" ht="16.5" customHeight="1">
      <c r="A49" s="475" t="s">
        <v>733</v>
      </c>
      <c r="B49" s="475">
        <v>3</v>
      </c>
      <c r="C49" s="427" t="e">
        <f>SUMIF([2]!טבלה6[קוד מוצר],B49,[2]!טבלה6[מחיר לקוח])</f>
        <v>#REF!</v>
      </c>
      <c r="D49" s="475">
        <v>1</v>
      </c>
      <c r="E49" s="427" t="e">
        <f t="shared" si="3"/>
        <v>#REF!</v>
      </c>
      <c r="F49" s="476">
        <v>0</v>
      </c>
      <c r="G49" s="442" t="e">
        <f t="shared" si="4"/>
        <v>#REF!</v>
      </c>
      <c r="H49" s="477" t="e">
        <f t="shared" si="17"/>
        <v>#REF!</v>
      </c>
      <c r="I49" s="478" t="s">
        <v>2</v>
      </c>
      <c r="J49" s="473" t="s">
        <v>737</v>
      </c>
      <c r="K49" s="474">
        <f>1/3</f>
        <v>0.33333333333333331</v>
      </c>
      <c r="L49" s="480">
        <f t="shared" si="18"/>
        <v>0</v>
      </c>
      <c r="M49" s="480">
        <f t="shared" si="18"/>
        <v>0</v>
      </c>
      <c r="N49" s="480">
        <f t="shared" si="18"/>
        <v>0</v>
      </c>
      <c r="O49" s="480">
        <f t="shared" si="18"/>
        <v>0</v>
      </c>
      <c r="P49" s="480">
        <f t="shared" si="18"/>
        <v>0</v>
      </c>
      <c r="Q49" s="480">
        <f t="shared" si="18"/>
        <v>0</v>
      </c>
      <c r="R49" s="480">
        <f t="shared" si="18"/>
        <v>0</v>
      </c>
      <c r="S49" s="480">
        <f t="shared" si="18"/>
        <v>0</v>
      </c>
      <c r="T49" s="480">
        <f t="shared" si="18"/>
        <v>0</v>
      </c>
      <c r="U49" s="480">
        <f t="shared" si="18"/>
        <v>0</v>
      </c>
      <c r="V49" s="480">
        <f t="shared" si="18"/>
        <v>0</v>
      </c>
      <c r="W49" s="480">
        <f t="shared" si="18"/>
        <v>0</v>
      </c>
      <c r="X49" s="480">
        <f t="shared" si="18"/>
        <v>0</v>
      </c>
      <c r="Y49" s="480">
        <f t="shared" si="18"/>
        <v>0</v>
      </c>
      <c r="Z49" s="480">
        <f t="shared" si="18"/>
        <v>0</v>
      </c>
      <c r="AA49" s="480">
        <f t="shared" si="18"/>
        <v>0</v>
      </c>
      <c r="AB49" s="480">
        <f t="shared" si="18"/>
        <v>0</v>
      </c>
      <c r="AC49" s="480">
        <f t="shared" si="18"/>
        <v>0</v>
      </c>
      <c r="AD49" s="480">
        <f t="shared" si="18"/>
        <v>0</v>
      </c>
      <c r="AE49" s="480">
        <f t="shared" si="18"/>
        <v>0</v>
      </c>
      <c r="AF49" s="480">
        <f t="shared" si="18"/>
        <v>0</v>
      </c>
      <c r="AG49" s="480">
        <f t="shared" si="18"/>
        <v>0</v>
      </c>
      <c r="AH49" s="480">
        <f t="shared" si="18"/>
        <v>0</v>
      </c>
      <c r="AI49" s="480">
        <f t="shared" si="18"/>
        <v>0</v>
      </c>
      <c r="AJ49" s="480">
        <f t="shared" si="18"/>
        <v>0</v>
      </c>
      <c r="AK49" s="480">
        <f t="shared" si="18"/>
        <v>0</v>
      </c>
      <c r="AL49" s="480">
        <f t="shared" ref="AL49:AL65" si="19">ROUNDUP($K49*AL$42,0)</f>
        <v>0</v>
      </c>
      <c r="AM49" s="480">
        <f>SUM(טבלה20[[#This Row],[1]:[27]])</f>
        <v>0</v>
      </c>
      <c r="AN49" s="447">
        <f>טבלה20[[#This Row],[סה"כ]]/9</f>
        <v>0</v>
      </c>
      <c r="AO49" s="481"/>
      <c r="AP49" s="482"/>
    </row>
    <row r="50" spans="1:42" s="475" customFormat="1" ht="16.5" customHeight="1">
      <c r="A50" s="475" t="s">
        <v>733</v>
      </c>
      <c r="B50" s="475">
        <v>607</v>
      </c>
      <c r="C50" s="427" t="e">
        <f>SUMIF([2]!טבלה6[קוד מוצר],B50,[2]!טבלה6[מחיר לקוח])</f>
        <v>#REF!</v>
      </c>
      <c r="D50" s="475">
        <v>1</v>
      </c>
      <c r="E50" s="427" t="e">
        <f t="shared" si="3"/>
        <v>#REF!</v>
      </c>
      <c r="F50" s="476">
        <v>0</v>
      </c>
      <c r="G50" s="442" t="e">
        <f t="shared" si="4"/>
        <v>#REF!</v>
      </c>
      <c r="H50" s="477" t="e">
        <f t="shared" si="17"/>
        <v>#REF!</v>
      </c>
      <c r="I50" s="478" t="s">
        <v>3</v>
      </c>
      <c r="J50" s="473" t="s">
        <v>710</v>
      </c>
      <c r="K50" s="474">
        <f>1/3</f>
        <v>0.33333333333333331</v>
      </c>
      <c r="L50" s="480">
        <f t="shared" si="18"/>
        <v>0</v>
      </c>
      <c r="M50" s="480">
        <f t="shared" si="18"/>
        <v>0</v>
      </c>
      <c r="N50" s="480">
        <f t="shared" si="18"/>
        <v>0</v>
      </c>
      <c r="O50" s="480">
        <f t="shared" si="18"/>
        <v>0</v>
      </c>
      <c r="P50" s="480">
        <f t="shared" si="18"/>
        <v>0</v>
      </c>
      <c r="Q50" s="480">
        <f t="shared" si="18"/>
        <v>0</v>
      </c>
      <c r="R50" s="480">
        <f t="shared" si="18"/>
        <v>0</v>
      </c>
      <c r="S50" s="480">
        <f t="shared" si="18"/>
        <v>0</v>
      </c>
      <c r="T50" s="480">
        <f t="shared" si="18"/>
        <v>0</v>
      </c>
      <c r="U50" s="480">
        <f t="shared" si="18"/>
        <v>0</v>
      </c>
      <c r="V50" s="480">
        <f t="shared" si="18"/>
        <v>0</v>
      </c>
      <c r="W50" s="480">
        <f t="shared" si="18"/>
        <v>0</v>
      </c>
      <c r="X50" s="480">
        <f t="shared" si="18"/>
        <v>0</v>
      </c>
      <c r="Y50" s="480">
        <f t="shared" si="18"/>
        <v>0</v>
      </c>
      <c r="Z50" s="480">
        <f t="shared" si="18"/>
        <v>0</v>
      </c>
      <c r="AA50" s="480">
        <f t="shared" si="18"/>
        <v>0</v>
      </c>
      <c r="AB50" s="480">
        <f t="shared" si="18"/>
        <v>0</v>
      </c>
      <c r="AC50" s="480">
        <f t="shared" si="18"/>
        <v>0</v>
      </c>
      <c r="AD50" s="480">
        <f t="shared" si="18"/>
        <v>0</v>
      </c>
      <c r="AE50" s="480">
        <f t="shared" si="18"/>
        <v>0</v>
      </c>
      <c r="AF50" s="480">
        <f t="shared" si="18"/>
        <v>0</v>
      </c>
      <c r="AG50" s="480">
        <f t="shared" si="18"/>
        <v>0</v>
      </c>
      <c r="AH50" s="480">
        <f t="shared" si="18"/>
        <v>0</v>
      </c>
      <c r="AI50" s="480">
        <f t="shared" si="18"/>
        <v>0</v>
      </c>
      <c r="AJ50" s="480">
        <f t="shared" si="18"/>
        <v>0</v>
      </c>
      <c r="AK50" s="480">
        <f t="shared" si="18"/>
        <v>0</v>
      </c>
      <c r="AL50" s="480">
        <f t="shared" si="19"/>
        <v>0</v>
      </c>
      <c r="AM50" s="480">
        <f>SUM(טבלה20[[#This Row],[1]:[27]])</f>
        <v>0</v>
      </c>
      <c r="AN50" s="447">
        <f>טבלה20[[#This Row],[סה"כ]]/7</f>
        <v>0</v>
      </c>
      <c r="AO50" s="473"/>
      <c r="AP50" s="480"/>
    </row>
    <row r="51" spans="1:42" s="483" customFormat="1" ht="16.5" customHeight="1">
      <c r="A51" s="475" t="s">
        <v>733</v>
      </c>
      <c r="B51" s="475">
        <v>157</v>
      </c>
      <c r="C51" s="427" t="e">
        <f>SUMIF([2]!טבלה6[קוד מוצר],B51,[2]!טבלה6[מחיר לקוח])</f>
        <v>#REF!</v>
      </c>
      <c r="D51" s="475">
        <v>1</v>
      </c>
      <c r="E51" s="427" t="e">
        <f t="shared" si="3"/>
        <v>#REF!</v>
      </c>
      <c r="F51" s="476">
        <v>0</v>
      </c>
      <c r="G51" s="442" t="e">
        <f t="shared" si="4"/>
        <v>#REF!</v>
      </c>
      <c r="H51" s="477" t="e">
        <f t="shared" si="17"/>
        <v>#REF!</v>
      </c>
      <c r="I51" s="478" t="s">
        <v>21</v>
      </c>
      <c r="J51" s="473" t="s">
        <v>709</v>
      </c>
      <c r="K51" s="474">
        <f>1/6</f>
        <v>0.16666666666666666</v>
      </c>
      <c r="L51" s="480">
        <f t="shared" si="18"/>
        <v>0</v>
      </c>
      <c r="M51" s="480">
        <f t="shared" si="18"/>
        <v>0</v>
      </c>
      <c r="N51" s="480">
        <f t="shared" si="18"/>
        <v>0</v>
      </c>
      <c r="O51" s="480">
        <f t="shared" si="18"/>
        <v>0</v>
      </c>
      <c r="P51" s="480">
        <f t="shared" si="18"/>
        <v>0</v>
      </c>
      <c r="Q51" s="480">
        <f t="shared" si="18"/>
        <v>0</v>
      </c>
      <c r="R51" s="480">
        <f t="shared" si="18"/>
        <v>0</v>
      </c>
      <c r="S51" s="480">
        <f t="shared" si="18"/>
        <v>0</v>
      </c>
      <c r="T51" s="480">
        <f t="shared" si="18"/>
        <v>0</v>
      </c>
      <c r="U51" s="480">
        <f t="shared" si="18"/>
        <v>0</v>
      </c>
      <c r="V51" s="480">
        <f t="shared" si="18"/>
        <v>0</v>
      </c>
      <c r="W51" s="480">
        <f t="shared" si="18"/>
        <v>0</v>
      </c>
      <c r="X51" s="480">
        <f t="shared" si="18"/>
        <v>0</v>
      </c>
      <c r="Y51" s="480">
        <f t="shared" si="18"/>
        <v>0</v>
      </c>
      <c r="Z51" s="480">
        <f t="shared" si="18"/>
        <v>0</v>
      </c>
      <c r="AA51" s="480">
        <f t="shared" si="18"/>
        <v>0</v>
      </c>
      <c r="AB51" s="480">
        <f t="shared" si="18"/>
        <v>0</v>
      </c>
      <c r="AC51" s="480">
        <f t="shared" si="18"/>
        <v>0</v>
      </c>
      <c r="AD51" s="480">
        <f t="shared" si="18"/>
        <v>0</v>
      </c>
      <c r="AE51" s="480">
        <f t="shared" si="18"/>
        <v>0</v>
      </c>
      <c r="AF51" s="480">
        <f t="shared" si="18"/>
        <v>0</v>
      </c>
      <c r="AG51" s="480">
        <f t="shared" si="18"/>
        <v>0</v>
      </c>
      <c r="AH51" s="480">
        <f t="shared" si="18"/>
        <v>0</v>
      </c>
      <c r="AI51" s="480">
        <f t="shared" si="18"/>
        <v>0</v>
      </c>
      <c r="AJ51" s="480">
        <f t="shared" si="18"/>
        <v>0</v>
      </c>
      <c r="AK51" s="480">
        <f t="shared" si="18"/>
        <v>0</v>
      </c>
      <c r="AL51" s="480">
        <f t="shared" si="19"/>
        <v>0</v>
      </c>
      <c r="AM51" s="480">
        <f>SUM(טבלה20[[#This Row],[1]:[27]])</f>
        <v>0</v>
      </c>
      <c r="AN51" s="447">
        <f>טבלה20[[#This Row],[סה"כ]]/6</f>
        <v>0</v>
      </c>
      <c r="AO51" s="481"/>
      <c r="AP51" s="484"/>
    </row>
    <row r="52" spans="1:42" s="475" customFormat="1" ht="16.5" customHeight="1">
      <c r="A52" s="475" t="s">
        <v>733</v>
      </c>
      <c r="B52" s="475">
        <v>328</v>
      </c>
      <c r="C52" s="427" t="e">
        <f>SUMIF([2]!טבלה6[קוד מוצר],B52,[2]!טבלה6[מחיר לקוח])</f>
        <v>#REF!</v>
      </c>
      <c r="D52" s="475">
        <v>1</v>
      </c>
      <c r="E52" s="427" t="e">
        <f t="shared" si="3"/>
        <v>#REF!</v>
      </c>
      <c r="F52" s="476">
        <v>0.17</v>
      </c>
      <c r="G52" s="442" t="e">
        <f t="shared" si="4"/>
        <v>#REF!</v>
      </c>
      <c r="H52" s="477" t="e">
        <f t="shared" si="17"/>
        <v>#REF!</v>
      </c>
      <c r="I52" s="478" t="s">
        <v>41</v>
      </c>
      <c r="J52" s="473" t="s">
        <v>738</v>
      </c>
      <c r="K52" s="474">
        <f>1/30</f>
        <v>3.3333333333333333E-2</v>
      </c>
      <c r="L52" s="480">
        <f t="shared" si="18"/>
        <v>0</v>
      </c>
      <c r="M52" s="480">
        <f t="shared" si="18"/>
        <v>0</v>
      </c>
      <c r="N52" s="480">
        <f t="shared" si="18"/>
        <v>0</v>
      </c>
      <c r="O52" s="480">
        <f t="shared" si="18"/>
        <v>0</v>
      </c>
      <c r="P52" s="480">
        <f t="shared" si="18"/>
        <v>0</v>
      </c>
      <c r="Q52" s="480">
        <f t="shared" si="18"/>
        <v>0</v>
      </c>
      <c r="R52" s="480">
        <f t="shared" si="18"/>
        <v>0</v>
      </c>
      <c r="S52" s="480">
        <f t="shared" si="18"/>
        <v>0</v>
      </c>
      <c r="T52" s="480">
        <f t="shared" si="18"/>
        <v>0</v>
      </c>
      <c r="U52" s="480">
        <f t="shared" si="18"/>
        <v>0</v>
      </c>
      <c r="V52" s="480">
        <f t="shared" si="18"/>
        <v>0</v>
      </c>
      <c r="W52" s="480">
        <f t="shared" si="18"/>
        <v>0</v>
      </c>
      <c r="X52" s="480">
        <f t="shared" si="18"/>
        <v>0</v>
      </c>
      <c r="Y52" s="480">
        <f t="shared" si="18"/>
        <v>0</v>
      </c>
      <c r="Z52" s="480">
        <f t="shared" si="18"/>
        <v>0</v>
      </c>
      <c r="AA52" s="480">
        <f t="shared" si="18"/>
        <v>0</v>
      </c>
      <c r="AB52" s="480">
        <f t="shared" si="18"/>
        <v>0</v>
      </c>
      <c r="AC52" s="480">
        <f t="shared" si="18"/>
        <v>0</v>
      </c>
      <c r="AD52" s="480">
        <f t="shared" si="18"/>
        <v>0</v>
      </c>
      <c r="AE52" s="480">
        <f t="shared" si="18"/>
        <v>0</v>
      </c>
      <c r="AF52" s="480">
        <f t="shared" si="18"/>
        <v>0</v>
      </c>
      <c r="AG52" s="480">
        <f t="shared" si="18"/>
        <v>0</v>
      </c>
      <c r="AH52" s="480">
        <f t="shared" si="18"/>
        <v>0</v>
      </c>
      <c r="AI52" s="480">
        <f t="shared" si="18"/>
        <v>0</v>
      </c>
      <c r="AJ52" s="480">
        <f t="shared" si="18"/>
        <v>0</v>
      </c>
      <c r="AK52" s="480">
        <f t="shared" si="18"/>
        <v>0</v>
      </c>
      <c r="AL52" s="480">
        <f t="shared" si="19"/>
        <v>0</v>
      </c>
      <c r="AM52" s="480">
        <f>SUM(טבלה20[[#This Row],[1]:[27]])</f>
        <v>0</v>
      </c>
      <c r="AN52" s="447">
        <f>טבלה20[[#This Row],[סה"כ]]</f>
        <v>0</v>
      </c>
      <c r="AO52" s="473"/>
      <c r="AP52" s="480"/>
    </row>
    <row r="53" spans="1:42" s="483" customFormat="1" ht="16.5" customHeight="1">
      <c r="A53" s="475" t="s">
        <v>733</v>
      </c>
      <c r="B53" s="475">
        <v>397</v>
      </c>
      <c r="C53" s="427" t="e">
        <f>SUMIF([2]!טבלה6[קוד מוצר],B53,[2]!טבלה6[מחיר לקוח])</f>
        <v>#REF!</v>
      </c>
      <c r="D53" s="475">
        <v>1</v>
      </c>
      <c r="E53" s="427" t="e">
        <f t="shared" si="3"/>
        <v>#REF!</v>
      </c>
      <c r="F53" s="476">
        <v>0</v>
      </c>
      <c r="G53" s="442" t="e">
        <f t="shared" si="4"/>
        <v>#REF!</v>
      </c>
      <c r="H53" s="477" t="e">
        <f t="shared" si="17"/>
        <v>#REF!</v>
      </c>
      <c r="I53" s="478" t="s">
        <v>719</v>
      </c>
      <c r="J53" s="473" t="s">
        <v>720</v>
      </c>
      <c r="K53" s="474">
        <f>1/15</f>
        <v>6.6666666666666666E-2</v>
      </c>
      <c r="L53" s="480">
        <f t="shared" si="18"/>
        <v>0</v>
      </c>
      <c r="M53" s="480">
        <f t="shared" si="18"/>
        <v>0</v>
      </c>
      <c r="N53" s="480">
        <f t="shared" si="18"/>
        <v>0</v>
      </c>
      <c r="O53" s="480">
        <f t="shared" si="18"/>
        <v>0</v>
      </c>
      <c r="P53" s="480">
        <f t="shared" si="18"/>
        <v>0</v>
      </c>
      <c r="Q53" s="480">
        <f t="shared" si="18"/>
        <v>0</v>
      </c>
      <c r="R53" s="480">
        <f t="shared" si="18"/>
        <v>0</v>
      </c>
      <c r="S53" s="480">
        <f t="shared" si="18"/>
        <v>0</v>
      </c>
      <c r="T53" s="480">
        <f t="shared" si="18"/>
        <v>0</v>
      </c>
      <c r="U53" s="480">
        <f t="shared" si="18"/>
        <v>0</v>
      </c>
      <c r="V53" s="480">
        <f t="shared" si="18"/>
        <v>0</v>
      </c>
      <c r="W53" s="480">
        <f t="shared" si="18"/>
        <v>0</v>
      </c>
      <c r="X53" s="480">
        <f t="shared" si="18"/>
        <v>0</v>
      </c>
      <c r="Y53" s="480">
        <f t="shared" si="18"/>
        <v>0</v>
      </c>
      <c r="Z53" s="480">
        <f t="shared" si="18"/>
        <v>0</v>
      </c>
      <c r="AA53" s="480">
        <f t="shared" si="18"/>
        <v>0</v>
      </c>
      <c r="AB53" s="480">
        <f t="shared" si="18"/>
        <v>0</v>
      </c>
      <c r="AC53" s="480">
        <f t="shared" si="18"/>
        <v>0</v>
      </c>
      <c r="AD53" s="480">
        <f t="shared" si="18"/>
        <v>0</v>
      </c>
      <c r="AE53" s="480">
        <f t="shared" si="18"/>
        <v>0</v>
      </c>
      <c r="AF53" s="480">
        <f t="shared" si="18"/>
        <v>0</v>
      </c>
      <c r="AG53" s="480">
        <f t="shared" si="18"/>
        <v>0</v>
      </c>
      <c r="AH53" s="480">
        <f t="shared" si="18"/>
        <v>0</v>
      </c>
      <c r="AI53" s="480">
        <f t="shared" si="18"/>
        <v>0</v>
      </c>
      <c r="AJ53" s="480">
        <f t="shared" si="18"/>
        <v>0</v>
      </c>
      <c r="AK53" s="480">
        <f t="shared" si="18"/>
        <v>0</v>
      </c>
      <c r="AL53" s="480">
        <f t="shared" si="19"/>
        <v>0</v>
      </c>
      <c r="AM53" s="480">
        <f>SUM(טבלה20[[#This Row],[1]:[27]])</f>
        <v>0</v>
      </c>
      <c r="AN53" s="447">
        <f>ROUNDUP(טבלה20[[#This Row],[סה"כ]]/10,0)</f>
        <v>0</v>
      </c>
      <c r="AO53" s="481"/>
      <c r="AP53" s="484"/>
    </row>
    <row r="54" spans="1:42" s="475" customFormat="1" ht="16.5" customHeight="1">
      <c r="A54" s="475" t="s">
        <v>733</v>
      </c>
      <c r="B54" s="475">
        <v>664</v>
      </c>
      <c r="C54" s="427" t="e">
        <f>SUMIF([2]!טבלה6[קוד מוצר],B54,[2]!טבלה6[מחיר לקוח])</f>
        <v>#REF!</v>
      </c>
      <c r="D54" s="475">
        <v>1</v>
      </c>
      <c r="E54" s="427" t="e">
        <f t="shared" si="3"/>
        <v>#REF!</v>
      </c>
      <c r="F54" s="476">
        <v>0.17</v>
      </c>
      <c r="G54" s="442" t="e">
        <f t="shared" si="4"/>
        <v>#REF!</v>
      </c>
      <c r="H54" s="477" t="e">
        <f t="shared" si="17"/>
        <v>#REF!</v>
      </c>
      <c r="I54" s="478" t="s">
        <v>739</v>
      </c>
      <c r="J54" s="473" t="s">
        <v>718</v>
      </c>
      <c r="K54" s="474">
        <f>1/30</f>
        <v>3.3333333333333333E-2</v>
      </c>
      <c r="L54" s="480">
        <f t="shared" si="18"/>
        <v>0</v>
      </c>
      <c r="M54" s="480">
        <f t="shared" si="18"/>
        <v>0</v>
      </c>
      <c r="N54" s="480">
        <f t="shared" si="18"/>
        <v>0</v>
      </c>
      <c r="O54" s="480">
        <f t="shared" si="18"/>
        <v>0</v>
      </c>
      <c r="P54" s="480">
        <f t="shared" si="18"/>
        <v>0</v>
      </c>
      <c r="Q54" s="480">
        <f t="shared" si="18"/>
        <v>0</v>
      </c>
      <c r="R54" s="480">
        <f t="shared" si="18"/>
        <v>0</v>
      </c>
      <c r="S54" s="480">
        <f t="shared" si="18"/>
        <v>0</v>
      </c>
      <c r="T54" s="480">
        <f t="shared" si="18"/>
        <v>0</v>
      </c>
      <c r="U54" s="480">
        <f t="shared" si="18"/>
        <v>0</v>
      </c>
      <c r="V54" s="480">
        <f t="shared" si="18"/>
        <v>0</v>
      </c>
      <c r="W54" s="480">
        <f t="shared" si="18"/>
        <v>0</v>
      </c>
      <c r="X54" s="480">
        <f t="shared" si="18"/>
        <v>0</v>
      </c>
      <c r="Y54" s="480">
        <f t="shared" si="18"/>
        <v>0</v>
      </c>
      <c r="Z54" s="480">
        <f t="shared" si="18"/>
        <v>0</v>
      </c>
      <c r="AA54" s="480">
        <f t="shared" si="18"/>
        <v>0</v>
      </c>
      <c r="AB54" s="480">
        <f t="shared" si="18"/>
        <v>0</v>
      </c>
      <c r="AC54" s="480">
        <f t="shared" si="18"/>
        <v>0</v>
      </c>
      <c r="AD54" s="480">
        <f t="shared" si="18"/>
        <v>0</v>
      </c>
      <c r="AE54" s="480">
        <f t="shared" si="18"/>
        <v>0</v>
      </c>
      <c r="AF54" s="480">
        <f t="shared" si="18"/>
        <v>0</v>
      </c>
      <c r="AG54" s="480">
        <f t="shared" si="18"/>
        <v>0</v>
      </c>
      <c r="AH54" s="480">
        <f t="shared" si="18"/>
        <v>0</v>
      </c>
      <c r="AI54" s="480">
        <f t="shared" si="18"/>
        <v>0</v>
      </c>
      <c r="AJ54" s="480">
        <f t="shared" si="18"/>
        <v>0</v>
      </c>
      <c r="AK54" s="480">
        <f t="shared" si="18"/>
        <v>0</v>
      </c>
      <c r="AL54" s="480">
        <f t="shared" si="19"/>
        <v>0</v>
      </c>
      <c r="AM54" s="480">
        <f>SUM(טבלה20[[#This Row],[1]:[27]])</f>
        <v>0</v>
      </c>
      <c r="AN54" s="447">
        <f>טבלה20[[#This Row],[סה"כ]]</f>
        <v>0</v>
      </c>
      <c r="AO54" s="473"/>
      <c r="AP54" s="480"/>
    </row>
    <row r="55" spans="1:42" s="483" customFormat="1" ht="16.5" customHeight="1">
      <c r="A55" s="475" t="s">
        <v>733</v>
      </c>
      <c r="B55" s="475">
        <v>673</v>
      </c>
      <c r="C55" s="427" t="e">
        <f>SUMIF([2]!טבלה6[קוד מוצר],B55,[2]!טבלה6[מחיר לקוח])</f>
        <v>#REF!</v>
      </c>
      <c r="D55" s="475">
        <v>1</v>
      </c>
      <c r="E55" s="427" t="e">
        <f t="shared" si="3"/>
        <v>#REF!</v>
      </c>
      <c r="F55" s="476">
        <v>0.17</v>
      </c>
      <c r="G55" s="442" t="e">
        <f t="shared" si="4"/>
        <v>#REF!</v>
      </c>
      <c r="H55" s="477" t="e">
        <f t="shared" si="17"/>
        <v>#REF!</v>
      </c>
      <c r="I55" s="478" t="s">
        <v>740</v>
      </c>
      <c r="J55" s="473" t="s">
        <v>741</v>
      </c>
      <c r="K55" s="479">
        <v>1</v>
      </c>
      <c r="L55" s="480">
        <f t="shared" si="18"/>
        <v>0</v>
      </c>
      <c r="M55" s="480">
        <f t="shared" si="18"/>
        <v>0</v>
      </c>
      <c r="N55" s="480">
        <f t="shared" si="18"/>
        <v>0</v>
      </c>
      <c r="O55" s="480">
        <f t="shared" si="18"/>
        <v>0</v>
      </c>
      <c r="P55" s="480">
        <f t="shared" si="18"/>
        <v>0</v>
      </c>
      <c r="Q55" s="480">
        <f t="shared" si="18"/>
        <v>0</v>
      </c>
      <c r="R55" s="480">
        <f t="shared" si="18"/>
        <v>0</v>
      </c>
      <c r="S55" s="480">
        <f t="shared" si="18"/>
        <v>0</v>
      </c>
      <c r="T55" s="480">
        <f t="shared" si="18"/>
        <v>0</v>
      </c>
      <c r="U55" s="480">
        <f t="shared" si="18"/>
        <v>0</v>
      </c>
      <c r="V55" s="480">
        <f t="shared" si="18"/>
        <v>0</v>
      </c>
      <c r="W55" s="480">
        <f t="shared" si="18"/>
        <v>0</v>
      </c>
      <c r="X55" s="480">
        <f t="shared" si="18"/>
        <v>0</v>
      </c>
      <c r="Y55" s="480">
        <f t="shared" si="18"/>
        <v>0</v>
      </c>
      <c r="Z55" s="480">
        <f t="shared" si="18"/>
        <v>0</v>
      </c>
      <c r="AA55" s="480">
        <f t="shared" si="18"/>
        <v>0</v>
      </c>
      <c r="AB55" s="480">
        <f t="shared" si="18"/>
        <v>0</v>
      </c>
      <c r="AC55" s="480">
        <f t="shared" si="18"/>
        <v>0</v>
      </c>
      <c r="AD55" s="480">
        <f t="shared" si="18"/>
        <v>0</v>
      </c>
      <c r="AE55" s="480">
        <f t="shared" si="18"/>
        <v>0</v>
      </c>
      <c r="AF55" s="480">
        <f t="shared" si="18"/>
        <v>0</v>
      </c>
      <c r="AG55" s="480">
        <f t="shared" si="18"/>
        <v>0</v>
      </c>
      <c r="AH55" s="480">
        <f t="shared" si="18"/>
        <v>0</v>
      </c>
      <c r="AI55" s="480">
        <f t="shared" si="18"/>
        <v>0</v>
      </c>
      <c r="AJ55" s="480">
        <f t="shared" si="18"/>
        <v>0</v>
      </c>
      <c r="AK55" s="480">
        <f t="shared" si="18"/>
        <v>0</v>
      </c>
      <c r="AL55" s="480">
        <f t="shared" si="19"/>
        <v>0</v>
      </c>
      <c r="AM55" s="480">
        <f>SUM(טבלה20[[#This Row],[1]:[27]])</f>
        <v>0</v>
      </c>
      <c r="AN55" s="447">
        <f xml:space="preserve"> CEILING(טבלה20[[#This Row],[סה"כ]],5)</f>
        <v>0</v>
      </c>
      <c r="AO55" s="481"/>
      <c r="AP55" s="484"/>
    </row>
    <row r="56" spans="1:42" s="475" customFormat="1" ht="16.5" customHeight="1">
      <c r="A56" s="475" t="s">
        <v>733</v>
      </c>
      <c r="B56" s="475">
        <v>674</v>
      </c>
      <c r="C56" s="427" t="e">
        <f>SUMIF([2]!טבלה6[קוד מוצר],B56,[2]!טבלה6[מחיר לקוח])</f>
        <v>#REF!</v>
      </c>
      <c r="D56" s="475">
        <v>1000</v>
      </c>
      <c r="E56" s="427" t="e">
        <f t="shared" si="3"/>
        <v>#REF!</v>
      </c>
      <c r="F56" s="476">
        <v>0.17</v>
      </c>
      <c r="G56" s="442" t="e">
        <f t="shared" si="4"/>
        <v>#REF!</v>
      </c>
      <c r="H56" s="477" t="e">
        <f t="shared" si="17"/>
        <v>#REF!</v>
      </c>
      <c r="I56" s="478" t="s">
        <v>127</v>
      </c>
      <c r="J56" s="473" t="s">
        <v>742</v>
      </c>
      <c r="K56" s="479">
        <v>125</v>
      </c>
      <c r="L56" s="480">
        <f t="shared" ref="L56:AK56" si="20">ROUNDUP($K56*(L$43+L$44),0)</f>
        <v>0</v>
      </c>
      <c r="M56" s="480">
        <f t="shared" si="20"/>
        <v>0</v>
      </c>
      <c r="N56" s="480">
        <f t="shared" si="20"/>
        <v>0</v>
      </c>
      <c r="O56" s="480">
        <f t="shared" si="20"/>
        <v>0</v>
      </c>
      <c r="P56" s="480">
        <f t="shared" si="20"/>
        <v>0</v>
      </c>
      <c r="Q56" s="480">
        <f t="shared" si="20"/>
        <v>0</v>
      </c>
      <c r="R56" s="480">
        <f t="shared" si="20"/>
        <v>0</v>
      </c>
      <c r="S56" s="480">
        <f t="shared" si="20"/>
        <v>0</v>
      </c>
      <c r="T56" s="480">
        <f t="shared" si="20"/>
        <v>0</v>
      </c>
      <c r="U56" s="480">
        <f t="shared" si="20"/>
        <v>0</v>
      </c>
      <c r="V56" s="480">
        <f t="shared" si="20"/>
        <v>0</v>
      </c>
      <c r="W56" s="480">
        <f t="shared" si="20"/>
        <v>0</v>
      </c>
      <c r="X56" s="480">
        <f t="shared" si="20"/>
        <v>0</v>
      </c>
      <c r="Y56" s="480">
        <f t="shared" si="20"/>
        <v>0</v>
      </c>
      <c r="Z56" s="480">
        <f t="shared" si="20"/>
        <v>0</v>
      </c>
      <c r="AA56" s="480">
        <f t="shared" si="20"/>
        <v>0</v>
      </c>
      <c r="AB56" s="480">
        <f t="shared" si="20"/>
        <v>0</v>
      </c>
      <c r="AC56" s="480">
        <f t="shared" si="20"/>
        <v>0</v>
      </c>
      <c r="AD56" s="480">
        <f t="shared" si="20"/>
        <v>0</v>
      </c>
      <c r="AE56" s="480">
        <f t="shared" si="20"/>
        <v>0</v>
      </c>
      <c r="AF56" s="480">
        <f t="shared" si="20"/>
        <v>0</v>
      </c>
      <c r="AG56" s="480">
        <f t="shared" si="20"/>
        <v>0</v>
      </c>
      <c r="AH56" s="480">
        <f t="shared" si="20"/>
        <v>0</v>
      </c>
      <c r="AI56" s="480">
        <f t="shared" si="20"/>
        <v>0</v>
      </c>
      <c r="AJ56" s="480">
        <f t="shared" si="20"/>
        <v>0</v>
      </c>
      <c r="AK56" s="480">
        <f t="shared" si="20"/>
        <v>0</v>
      </c>
      <c r="AL56" s="480">
        <f>ROUNDUP($K56*(AL$43+AL$44),0)</f>
        <v>0</v>
      </c>
      <c r="AM56" s="480">
        <f>SUM(טבלה20[[#This Row],[1]:[27]])</f>
        <v>0</v>
      </c>
      <c r="AN56" s="447">
        <f>CEILING(טבלה20[[#This Row],[סה"כ]]/1000,5)</f>
        <v>0</v>
      </c>
      <c r="AO56" s="473"/>
      <c r="AP56" s="480"/>
    </row>
    <row r="57" spans="1:42" s="483" customFormat="1" ht="16.5" customHeight="1">
      <c r="A57" s="475" t="s">
        <v>733</v>
      </c>
      <c r="B57" s="475">
        <v>6147</v>
      </c>
      <c r="C57" s="427" t="e">
        <f>SUMIF([2]!טבלה6[קוד מוצר],B57,[2]!טבלה6[מחיר לקוח])</f>
        <v>#REF!</v>
      </c>
      <c r="D57" s="475">
        <v>1</v>
      </c>
      <c r="E57" s="427" t="e">
        <f t="shared" si="3"/>
        <v>#REF!</v>
      </c>
      <c r="F57" s="476">
        <v>0.17</v>
      </c>
      <c r="G57" s="442" t="e">
        <f t="shared" si="4"/>
        <v>#REF!</v>
      </c>
      <c r="H57" s="477" t="e">
        <f t="shared" si="17"/>
        <v>#REF!</v>
      </c>
      <c r="I57" s="478" t="s">
        <v>112</v>
      </c>
      <c r="J57" s="473" t="s">
        <v>743</v>
      </c>
      <c r="K57" s="479">
        <v>1</v>
      </c>
      <c r="L57" s="480">
        <f t="shared" ref="L57:AK57" si="21">ROUNDUP($K57*L$45,0)</f>
        <v>0</v>
      </c>
      <c r="M57" s="480">
        <f t="shared" si="21"/>
        <v>0</v>
      </c>
      <c r="N57" s="480">
        <f t="shared" si="21"/>
        <v>0</v>
      </c>
      <c r="O57" s="480">
        <f t="shared" si="21"/>
        <v>0</v>
      </c>
      <c r="P57" s="480">
        <f t="shared" si="21"/>
        <v>0</v>
      </c>
      <c r="Q57" s="480">
        <f t="shared" si="21"/>
        <v>0</v>
      </c>
      <c r="R57" s="480">
        <f t="shared" si="21"/>
        <v>0</v>
      </c>
      <c r="S57" s="480">
        <f t="shared" si="21"/>
        <v>0</v>
      </c>
      <c r="T57" s="480">
        <f t="shared" si="21"/>
        <v>0</v>
      </c>
      <c r="U57" s="480">
        <f t="shared" si="21"/>
        <v>0</v>
      </c>
      <c r="V57" s="480">
        <f t="shared" si="21"/>
        <v>0</v>
      </c>
      <c r="W57" s="480">
        <f t="shared" si="21"/>
        <v>0</v>
      </c>
      <c r="X57" s="480">
        <f t="shared" si="21"/>
        <v>0</v>
      </c>
      <c r="Y57" s="480">
        <f t="shared" si="21"/>
        <v>0</v>
      </c>
      <c r="Z57" s="480">
        <f t="shared" si="21"/>
        <v>0</v>
      </c>
      <c r="AA57" s="480">
        <f t="shared" si="21"/>
        <v>0</v>
      </c>
      <c r="AB57" s="480">
        <f t="shared" si="21"/>
        <v>0</v>
      </c>
      <c r="AC57" s="480">
        <f t="shared" si="21"/>
        <v>0</v>
      </c>
      <c r="AD57" s="480">
        <f t="shared" si="21"/>
        <v>0</v>
      </c>
      <c r="AE57" s="480">
        <f t="shared" si="21"/>
        <v>0</v>
      </c>
      <c r="AF57" s="480">
        <f t="shared" si="21"/>
        <v>0</v>
      </c>
      <c r="AG57" s="480">
        <f t="shared" si="21"/>
        <v>0</v>
      </c>
      <c r="AH57" s="480">
        <f t="shared" si="21"/>
        <v>0</v>
      </c>
      <c r="AI57" s="480">
        <f t="shared" si="21"/>
        <v>0</v>
      </c>
      <c r="AJ57" s="480">
        <f t="shared" si="21"/>
        <v>0</v>
      </c>
      <c r="AK57" s="480">
        <f t="shared" si="21"/>
        <v>0</v>
      </c>
      <c r="AL57" s="480">
        <f>ROUNDUP($K57*AL$45,0)</f>
        <v>0</v>
      </c>
      <c r="AM57" s="480">
        <f>SUM(טבלה20[[#This Row],[1]:[27]])</f>
        <v>0</v>
      </c>
      <c r="AN57" s="447">
        <f>טבלה20[[#This Row],[סה"כ]]</f>
        <v>0</v>
      </c>
      <c r="AO57" s="481"/>
      <c r="AP57" s="482"/>
    </row>
    <row r="58" spans="1:42" s="475" customFormat="1" ht="16.5" customHeight="1">
      <c r="A58" s="475" t="s">
        <v>733</v>
      </c>
      <c r="B58" s="475">
        <v>1711</v>
      </c>
      <c r="C58" s="427" t="e">
        <f>SUMIF([2]!טבלה6[קוד מוצר],B58,[2]!טבלה6[מחיר לקוח])</f>
        <v>#REF!</v>
      </c>
      <c r="D58" s="475">
        <v>1</v>
      </c>
      <c r="E58" s="427" t="e">
        <f t="shared" si="3"/>
        <v>#REF!</v>
      </c>
      <c r="F58" s="476">
        <v>0.17</v>
      </c>
      <c r="G58" s="442" t="e">
        <f t="shared" si="4"/>
        <v>#REF!</v>
      </c>
      <c r="H58" s="477" t="e">
        <f t="shared" si="17"/>
        <v>#REF!</v>
      </c>
      <c r="I58" s="478" t="s">
        <v>25</v>
      </c>
      <c r="J58" s="473" t="s">
        <v>725</v>
      </c>
      <c r="K58" s="474">
        <f>1/35</f>
        <v>2.8571428571428571E-2</v>
      </c>
      <c r="L58" s="480">
        <f t="shared" ref="L58:AK58" si="22">ROUNDUP($K58*L$42,0)</f>
        <v>0</v>
      </c>
      <c r="M58" s="480">
        <f t="shared" si="22"/>
        <v>0</v>
      </c>
      <c r="N58" s="480">
        <f t="shared" si="22"/>
        <v>0</v>
      </c>
      <c r="O58" s="480">
        <f t="shared" si="22"/>
        <v>0</v>
      </c>
      <c r="P58" s="480">
        <f t="shared" si="22"/>
        <v>0</v>
      </c>
      <c r="Q58" s="480">
        <f t="shared" si="22"/>
        <v>0</v>
      </c>
      <c r="R58" s="480">
        <f t="shared" si="22"/>
        <v>0</v>
      </c>
      <c r="S58" s="480">
        <f t="shared" si="22"/>
        <v>0</v>
      </c>
      <c r="T58" s="480">
        <f t="shared" si="22"/>
        <v>0</v>
      </c>
      <c r="U58" s="480">
        <f t="shared" si="22"/>
        <v>0</v>
      </c>
      <c r="V58" s="480">
        <f t="shared" si="22"/>
        <v>0</v>
      </c>
      <c r="W58" s="480">
        <f t="shared" si="22"/>
        <v>0</v>
      </c>
      <c r="X58" s="480">
        <f t="shared" si="22"/>
        <v>0</v>
      </c>
      <c r="Y58" s="480">
        <f t="shared" si="22"/>
        <v>0</v>
      </c>
      <c r="Z58" s="480">
        <f t="shared" si="22"/>
        <v>0</v>
      </c>
      <c r="AA58" s="480">
        <f t="shared" si="22"/>
        <v>0</v>
      </c>
      <c r="AB58" s="480">
        <f t="shared" si="22"/>
        <v>0</v>
      </c>
      <c r="AC58" s="480">
        <f t="shared" si="22"/>
        <v>0</v>
      </c>
      <c r="AD58" s="480">
        <f t="shared" si="22"/>
        <v>0</v>
      </c>
      <c r="AE58" s="480">
        <f t="shared" si="22"/>
        <v>0</v>
      </c>
      <c r="AF58" s="480">
        <f t="shared" si="22"/>
        <v>0</v>
      </c>
      <c r="AG58" s="480">
        <f t="shared" si="22"/>
        <v>0</v>
      </c>
      <c r="AH58" s="480">
        <f t="shared" si="22"/>
        <v>0</v>
      </c>
      <c r="AI58" s="480">
        <f t="shared" si="22"/>
        <v>0</v>
      </c>
      <c r="AJ58" s="480">
        <f t="shared" si="22"/>
        <v>0</v>
      </c>
      <c r="AK58" s="480">
        <f t="shared" si="22"/>
        <v>0</v>
      </c>
      <c r="AL58" s="480">
        <f>ROUNDUP($K58*AL$42,0)</f>
        <v>0</v>
      </c>
      <c r="AM58" s="480">
        <f>SUM(טבלה20[[#This Row],[1]:[27]])</f>
        <v>0</v>
      </c>
      <c r="AN58" s="447">
        <f>טבלה20[[#This Row],[סה"כ]]</f>
        <v>0</v>
      </c>
      <c r="AO58" s="473"/>
      <c r="AP58" s="480"/>
    </row>
    <row r="59" spans="1:42" s="483" customFormat="1" ht="16.5" customHeight="1">
      <c r="A59" s="475" t="s">
        <v>733</v>
      </c>
      <c r="B59" s="440">
        <v>440</v>
      </c>
      <c r="C59" s="427" t="e">
        <f>SUMIF([2]!טבלה6[קוד מוצר],B59,[2]!טבלה6[מחיר לקוח])</f>
        <v>#REF!</v>
      </c>
      <c r="D59" s="475">
        <v>1</v>
      </c>
      <c r="E59" s="427" t="e">
        <f t="shared" si="3"/>
        <v>#REF!</v>
      </c>
      <c r="F59" s="476">
        <v>0.17</v>
      </c>
      <c r="G59" s="442" t="e">
        <f t="shared" si="4"/>
        <v>#REF!</v>
      </c>
      <c r="H59" s="477" t="e">
        <f t="shared" si="17"/>
        <v>#REF!</v>
      </c>
      <c r="I59" s="440" t="s">
        <v>106</v>
      </c>
      <c r="J59" s="444" t="s">
        <v>726</v>
      </c>
      <c r="K59" s="450">
        <v>1</v>
      </c>
      <c r="L59" s="480">
        <f t="shared" ref="L59:AK62" si="23">IF(L$42&gt;0,$K59,0)</f>
        <v>0</v>
      </c>
      <c r="M59" s="480">
        <f t="shared" si="23"/>
        <v>0</v>
      </c>
      <c r="N59" s="480">
        <f t="shared" si="23"/>
        <v>0</v>
      </c>
      <c r="O59" s="480">
        <f t="shared" si="23"/>
        <v>0</v>
      </c>
      <c r="P59" s="480">
        <f t="shared" si="23"/>
        <v>0</v>
      </c>
      <c r="Q59" s="480">
        <f t="shared" si="23"/>
        <v>0</v>
      </c>
      <c r="R59" s="480">
        <f t="shared" si="23"/>
        <v>0</v>
      </c>
      <c r="S59" s="480">
        <f t="shared" si="23"/>
        <v>0</v>
      </c>
      <c r="T59" s="480">
        <f t="shared" si="23"/>
        <v>0</v>
      </c>
      <c r="U59" s="480">
        <f t="shared" si="23"/>
        <v>0</v>
      </c>
      <c r="V59" s="480">
        <f t="shared" si="23"/>
        <v>0</v>
      </c>
      <c r="W59" s="480">
        <f t="shared" si="23"/>
        <v>0</v>
      </c>
      <c r="X59" s="480">
        <f t="shared" si="23"/>
        <v>0</v>
      </c>
      <c r="Y59" s="480">
        <f t="shared" si="23"/>
        <v>0</v>
      </c>
      <c r="Z59" s="480">
        <f t="shared" si="23"/>
        <v>0</v>
      </c>
      <c r="AA59" s="480">
        <f t="shared" si="23"/>
        <v>0</v>
      </c>
      <c r="AB59" s="480">
        <f t="shared" si="23"/>
        <v>0</v>
      </c>
      <c r="AC59" s="480">
        <f t="shared" si="23"/>
        <v>0</v>
      </c>
      <c r="AD59" s="480">
        <f t="shared" si="23"/>
        <v>0</v>
      </c>
      <c r="AE59" s="480">
        <f t="shared" si="23"/>
        <v>0</v>
      </c>
      <c r="AF59" s="480">
        <f t="shared" si="23"/>
        <v>0</v>
      </c>
      <c r="AG59" s="480">
        <f t="shared" si="23"/>
        <v>0</v>
      </c>
      <c r="AH59" s="480">
        <f t="shared" si="23"/>
        <v>0</v>
      </c>
      <c r="AI59" s="480">
        <f t="shared" si="23"/>
        <v>0</v>
      </c>
      <c r="AJ59" s="480">
        <f t="shared" si="23"/>
        <v>0</v>
      </c>
      <c r="AK59" s="480">
        <f t="shared" si="23"/>
        <v>0</v>
      </c>
      <c r="AL59" s="480">
        <f>IF(AL$42&gt;0,$K59,0)</f>
        <v>0</v>
      </c>
      <c r="AM59" s="485">
        <f>SUM(טבלה20[[#This Row],[1]:[27]])</f>
        <v>0</v>
      </c>
      <c r="AN59" s="447">
        <f>ROUNDUP(טבלה20[[#This Row],[סה"כ]]/15,0)</f>
        <v>0</v>
      </c>
      <c r="AO59" s="481"/>
      <c r="AP59" s="482"/>
    </row>
    <row r="60" spans="1:42" s="475" customFormat="1" ht="16.5" customHeight="1">
      <c r="A60" s="475" t="s">
        <v>733</v>
      </c>
      <c r="B60" s="475">
        <v>688</v>
      </c>
      <c r="C60" s="427" t="e">
        <f>SUMIF([2]!טבלה6[קוד מוצר],B60,[2]!טבלה6[מחיר לקוח])</f>
        <v>#REF!</v>
      </c>
      <c r="D60" s="475">
        <v>1</v>
      </c>
      <c r="E60" s="427" t="e">
        <f t="shared" si="3"/>
        <v>#REF!</v>
      </c>
      <c r="F60" s="476">
        <v>0.17</v>
      </c>
      <c r="G60" s="442" t="e">
        <f t="shared" si="4"/>
        <v>#REF!</v>
      </c>
      <c r="H60" s="477" t="e">
        <f t="shared" si="17"/>
        <v>#REF!</v>
      </c>
      <c r="I60" s="478" t="s">
        <v>727</v>
      </c>
      <c r="J60" s="473" t="s">
        <v>726</v>
      </c>
      <c r="K60" s="479">
        <v>1</v>
      </c>
      <c r="L60" s="480">
        <f t="shared" si="23"/>
        <v>0</v>
      </c>
      <c r="M60" s="480">
        <f t="shared" si="23"/>
        <v>0</v>
      </c>
      <c r="N60" s="480">
        <f t="shared" si="23"/>
        <v>0</v>
      </c>
      <c r="O60" s="480">
        <f t="shared" si="23"/>
        <v>0</v>
      </c>
      <c r="P60" s="480">
        <f t="shared" si="23"/>
        <v>0</v>
      </c>
      <c r="Q60" s="480">
        <f t="shared" si="23"/>
        <v>0</v>
      </c>
      <c r="R60" s="480">
        <f t="shared" si="23"/>
        <v>0</v>
      </c>
      <c r="S60" s="480">
        <f t="shared" si="23"/>
        <v>0</v>
      </c>
      <c r="T60" s="480">
        <f t="shared" si="23"/>
        <v>0</v>
      </c>
      <c r="U60" s="480">
        <f t="shared" si="23"/>
        <v>0</v>
      </c>
      <c r="V60" s="480">
        <f t="shared" si="23"/>
        <v>0</v>
      </c>
      <c r="W60" s="480">
        <f t="shared" si="23"/>
        <v>0</v>
      </c>
      <c r="X60" s="480">
        <f t="shared" si="23"/>
        <v>0</v>
      </c>
      <c r="Y60" s="480">
        <f t="shared" si="23"/>
        <v>0</v>
      </c>
      <c r="Z60" s="480">
        <f t="shared" si="23"/>
        <v>0</v>
      </c>
      <c r="AA60" s="480">
        <f t="shared" si="23"/>
        <v>0</v>
      </c>
      <c r="AB60" s="480">
        <f t="shared" si="23"/>
        <v>0</v>
      </c>
      <c r="AC60" s="480">
        <f t="shared" si="23"/>
        <v>0</v>
      </c>
      <c r="AD60" s="480">
        <f t="shared" si="23"/>
        <v>0</v>
      </c>
      <c r="AE60" s="480">
        <f t="shared" si="23"/>
        <v>0</v>
      </c>
      <c r="AF60" s="480">
        <f t="shared" si="23"/>
        <v>0</v>
      </c>
      <c r="AG60" s="480">
        <f t="shared" si="23"/>
        <v>0</v>
      </c>
      <c r="AH60" s="480">
        <f t="shared" si="23"/>
        <v>0</v>
      </c>
      <c r="AI60" s="480">
        <f t="shared" si="23"/>
        <v>0</v>
      </c>
      <c r="AJ60" s="480">
        <f t="shared" si="23"/>
        <v>0</v>
      </c>
      <c r="AK60" s="480">
        <f t="shared" si="23"/>
        <v>0</v>
      </c>
      <c r="AL60" s="480">
        <f t="shared" ref="AL60:AL62" si="24">IF(AL$42&gt;0,$K60,0)</f>
        <v>0</v>
      </c>
      <c r="AM60" s="480">
        <f>SUM(טבלה20[[#This Row],[1]:[27]])</f>
        <v>0</v>
      </c>
      <c r="AN60" s="447">
        <f>ROUNDUP(טבלה20[[#This Row],[סה"כ]]/15,0)</f>
        <v>0</v>
      </c>
      <c r="AO60" s="473"/>
      <c r="AP60" s="480"/>
    </row>
    <row r="61" spans="1:42" s="483" customFormat="1" ht="16.5" customHeight="1">
      <c r="A61" s="475" t="s">
        <v>733</v>
      </c>
      <c r="B61" s="440">
        <v>694</v>
      </c>
      <c r="C61" s="427" t="e">
        <f>SUMIF([2]!טבלה6[קוד מוצר],B61,[2]!טבלה6[מחיר לקוח])</f>
        <v>#REF!</v>
      </c>
      <c r="D61" s="475">
        <v>1</v>
      </c>
      <c r="E61" s="427" t="e">
        <f t="shared" si="3"/>
        <v>#REF!</v>
      </c>
      <c r="F61" s="476">
        <v>0.17</v>
      </c>
      <c r="G61" s="442" t="e">
        <f t="shared" si="4"/>
        <v>#REF!</v>
      </c>
      <c r="H61" s="477" t="e">
        <f t="shared" si="17"/>
        <v>#REF!</v>
      </c>
      <c r="I61" s="440" t="s">
        <v>728</v>
      </c>
      <c r="J61" s="444" t="s">
        <v>726</v>
      </c>
      <c r="K61" s="450">
        <v>1</v>
      </c>
      <c r="L61" s="480">
        <f t="shared" si="23"/>
        <v>0</v>
      </c>
      <c r="M61" s="480">
        <f t="shared" si="23"/>
        <v>0</v>
      </c>
      <c r="N61" s="480">
        <f t="shared" si="23"/>
        <v>0</v>
      </c>
      <c r="O61" s="480">
        <f t="shared" si="23"/>
        <v>0</v>
      </c>
      <c r="P61" s="480">
        <f t="shared" si="23"/>
        <v>0</v>
      </c>
      <c r="Q61" s="480">
        <f t="shared" si="23"/>
        <v>0</v>
      </c>
      <c r="R61" s="480">
        <f t="shared" si="23"/>
        <v>0</v>
      </c>
      <c r="S61" s="480">
        <f t="shared" si="23"/>
        <v>0</v>
      </c>
      <c r="T61" s="480">
        <f t="shared" si="23"/>
        <v>0</v>
      </c>
      <c r="U61" s="480">
        <f t="shared" si="23"/>
        <v>0</v>
      </c>
      <c r="V61" s="480">
        <f t="shared" si="23"/>
        <v>0</v>
      </c>
      <c r="W61" s="480">
        <f t="shared" si="23"/>
        <v>0</v>
      </c>
      <c r="X61" s="480">
        <f t="shared" si="23"/>
        <v>0</v>
      </c>
      <c r="Y61" s="480">
        <f t="shared" si="23"/>
        <v>0</v>
      </c>
      <c r="Z61" s="480">
        <f t="shared" si="23"/>
        <v>0</v>
      </c>
      <c r="AA61" s="480">
        <f t="shared" si="23"/>
        <v>0</v>
      </c>
      <c r="AB61" s="480">
        <f t="shared" si="23"/>
        <v>0</v>
      </c>
      <c r="AC61" s="480">
        <f t="shared" si="23"/>
        <v>0</v>
      </c>
      <c r="AD61" s="480">
        <f t="shared" si="23"/>
        <v>0</v>
      </c>
      <c r="AE61" s="480">
        <f t="shared" si="23"/>
        <v>0</v>
      </c>
      <c r="AF61" s="480">
        <f t="shared" si="23"/>
        <v>0</v>
      </c>
      <c r="AG61" s="480">
        <f t="shared" si="23"/>
        <v>0</v>
      </c>
      <c r="AH61" s="480">
        <f t="shared" si="23"/>
        <v>0</v>
      </c>
      <c r="AI61" s="480">
        <f t="shared" si="23"/>
        <v>0</v>
      </c>
      <c r="AJ61" s="480">
        <f t="shared" si="23"/>
        <v>0</v>
      </c>
      <c r="AK61" s="480">
        <f t="shared" si="23"/>
        <v>0</v>
      </c>
      <c r="AL61" s="480">
        <f t="shared" si="24"/>
        <v>0</v>
      </c>
      <c r="AM61" s="485">
        <f>SUM(טבלה20[[#This Row],[1]:[27]])</f>
        <v>0</v>
      </c>
      <c r="AN61" s="447">
        <f>ROUNDUP(טבלה20[[#This Row],[סה"כ]]/15,0)</f>
        <v>0</v>
      </c>
      <c r="AO61" s="481"/>
      <c r="AP61" s="482"/>
    </row>
    <row r="62" spans="1:42" s="475" customFormat="1" ht="16.5" customHeight="1">
      <c r="A62" s="475" t="s">
        <v>733</v>
      </c>
      <c r="B62" s="475">
        <v>360</v>
      </c>
      <c r="C62" s="427" t="e">
        <f>SUMIF([2]!טבלה6[קוד מוצר],B62,[2]!טבלה6[מחיר לקוח])</f>
        <v>#REF!</v>
      </c>
      <c r="D62" s="475">
        <v>1</v>
      </c>
      <c r="E62" s="427" t="e">
        <f t="shared" si="3"/>
        <v>#REF!</v>
      </c>
      <c r="F62" s="476">
        <v>0.17</v>
      </c>
      <c r="G62" s="442" t="e">
        <f t="shared" si="4"/>
        <v>#REF!</v>
      </c>
      <c r="H62" s="477" t="e">
        <f t="shared" si="17"/>
        <v>#REF!</v>
      </c>
      <c r="I62" s="478" t="s">
        <v>502</v>
      </c>
      <c r="J62" s="473" t="s">
        <v>726</v>
      </c>
      <c r="K62" s="479">
        <v>1</v>
      </c>
      <c r="L62" s="480">
        <f t="shared" si="23"/>
        <v>0</v>
      </c>
      <c r="M62" s="480">
        <f t="shared" si="23"/>
        <v>0</v>
      </c>
      <c r="N62" s="480">
        <f t="shared" si="23"/>
        <v>0</v>
      </c>
      <c r="O62" s="480">
        <f t="shared" si="23"/>
        <v>0</v>
      </c>
      <c r="P62" s="480">
        <f t="shared" si="23"/>
        <v>0</v>
      </c>
      <c r="Q62" s="480">
        <f t="shared" si="23"/>
        <v>0</v>
      </c>
      <c r="R62" s="480">
        <f t="shared" si="23"/>
        <v>0</v>
      </c>
      <c r="S62" s="480">
        <f t="shared" si="23"/>
        <v>0</v>
      </c>
      <c r="T62" s="480">
        <f t="shared" si="23"/>
        <v>0</v>
      </c>
      <c r="U62" s="480">
        <f t="shared" si="23"/>
        <v>0</v>
      </c>
      <c r="V62" s="480">
        <f t="shared" si="23"/>
        <v>0</v>
      </c>
      <c r="W62" s="480">
        <f t="shared" si="23"/>
        <v>0</v>
      </c>
      <c r="X62" s="480">
        <f t="shared" si="23"/>
        <v>0</v>
      </c>
      <c r="Y62" s="480">
        <f t="shared" si="23"/>
        <v>0</v>
      </c>
      <c r="Z62" s="480">
        <f t="shared" si="23"/>
        <v>0</v>
      </c>
      <c r="AA62" s="480">
        <f t="shared" si="23"/>
        <v>0</v>
      </c>
      <c r="AB62" s="480">
        <f t="shared" si="23"/>
        <v>0</v>
      </c>
      <c r="AC62" s="480">
        <f t="shared" si="23"/>
        <v>0</v>
      </c>
      <c r="AD62" s="480">
        <f t="shared" si="23"/>
        <v>0</v>
      </c>
      <c r="AE62" s="480">
        <f t="shared" si="23"/>
        <v>0</v>
      </c>
      <c r="AF62" s="480">
        <f t="shared" si="23"/>
        <v>0</v>
      </c>
      <c r="AG62" s="480">
        <f t="shared" si="23"/>
        <v>0</v>
      </c>
      <c r="AH62" s="480">
        <f t="shared" si="23"/>
        <v>0</v>
      </c>
      <c r="AI62" s="480">
        <f t="shared" si="23"/>
        <v>0</v>
      </c>
      <c r="AJ62" s="480">
        <f t="shared" si="23"/>
        <v>0</v>
      </c>
      <c r="AK62" s="480">
        <f t="shared" si="23"/>
        <v>0</v>
      </c>
      <c r="AL62" s="480">
        <f t="shared" si="24"/>
        <v>0</v>
      </c>
      <c r="AM62" s="480">
        <f>SUM(טבלה20[[#This Row],[1]:[27]])</f>
        <v>0</v>
      </c>
      <c r="AN62" s="447">
        <f>ROUNDUP(טבלה20[[#This Row],[סה"כ]]/15,0)</f>
        <v>0</v>
      </c>
      <c r="AO62" s="473"/>
      <c r="AP62" s="480"/>
    </row>
    <row r="63" spans="1:42" s="483" customFormat="1" ht="16.5" customHeight="1">
      <c r="A63" s="475" t="s">
        <v>733</v>
      </c>
      <c r="B63" s="440" t="s">
        <v>574</v>
      </c>
      <c r="C63" s="427" t="e">
        <f>SUMIF([2]!טבלה21[מקט],B63,[2]!טבלה21[מחיר ליח''])</f>
        <v>#REF!</v>
      </c>
      <c r="D63" s="475">
        <v>1</v>
      </c>
      <c r="E63" s="427" t="e">
        <f t="shared" si="3"/>
        <v>#REF!</v>
      </c>
      <c r="F63" s="476">
        <v>0.17</v>
      </c>
      <c r="G63" s="442" t="e">
        <f t="shared" si="4"/>
        <v>#REF!</v>
      </c>
      <c r="H63" s="477" t="e">
        <f t="shared" si="17"/>
        <v>#REF!</v>
      </c>
      <c r="I63" s="440" t="s">
        <v>32</v>
      </c>
      <c r="J63" s="444" t="s">
        <v>729</v>
      </c>
      <c r="K63" s="472">
        <f>1.2</f>
        <v>1.2</v>
      </c>
      <c r="L63" s="480">
        <f t="shared" ref="L63:AK65" si="25">ROUNDUP($K63*L$42,0)</f>
        <v>0</v>
      </c>
      <c r="M63" s="480">
        <f t="shared" si="25"/>
        <v>0</v>
      </c>
      <c r="N63" s="480">
        <f t="shared" si="25"/>
        <v>0</v>
      </c>
      <c r="O63" s="480">
        <f t="shared" si="25"/>
        <v>0</v>
      </c>
      <c r="P63" s="480">
        <f t="shared" si="25"/>
        <v>0</v>
      </c>
      <c r="Q63" s="480">
        <f t="shared" si="25"/>
        <v>0</v>
      </c>
      <c r="R63" s="480">
        <f t="shared" si="25"/>
        <v>0</v>
      </c>
      <c r="S63" s="480">
        <f t="shared" si="25"/>
        <v>0</v>
      </c>
      <c r="T63" s="480">
        <f t="shared" si="25"/>
        <v>0</v>
      </c>
      <c r="U63" s="480">
        <f t="shared" si="25"/>
        <v>0</v>
      </c>
      <c r="V63" s="480">
        <f t="shared" si="25"/>
        <v>0</v>
      </c>
      <c r="W63" s="480">
        <f t="shared" si="25"/>
        <v>0</v>
      </c>
      <c r="X63" s="480">
        <f t="shared" si="25"/>
        <v>0</v>
      </c>
      <c r="Y63" s="480">
        <f t="shared" si="25"/>
        <v>0</v>
      </c>
      <c r="Z63" s="480">
        <f t="shared" si="25"/>
        <v>0</v>
      </c>
      <c r="AA63" s="480">
        <f t="shared" si="25"/>
        <v>0</v>
      </c>
      <c r="AB63" s="480">
        <f t="shared" si="25"/>
        <v>0</v>
      </c>
      <c r="AC63" s="480">
        <f t="shared" si="25"/>
        <v>0</v>
      </c>
      <c r="AD63" s="480">
        <f t="shared" si="25"/>
        <v>0</v>
      </c>
      <c r="AE63" s="480">
        <f t="shared" si="25"/>
        <v>0</v>
      </c>
      <c r="AF63" s="480">
        <f t="shared" si="25"/>
        <v>0</v>
      </c>
      <c r="AG63" s="480">
        <f t="shared" si="25"/>
        <v>0</v>
      </c>
      <c r="AH63" s="480">
        <f t="shared" si="25"/>
        <v>0</v>
      </c>
      <c r="AI63" s="480">
        <f t="shared" si="25"/>
        <v>0</v>
      </c>
      <c r="AJ63" s="480">
        <f t="shared" si="25"/>
        <v>0</v>
      </c>
      <c r="AK63" s="480">
        <f t="shared" si="25"/>
        <v>0</v>
      </c>
      <c r="AL63" s="480">
        <f t="shared" si="19"/>
        <v>0</v>
      </c>
      <c r="AM63" s="480">
        <f>SUM(טבלה20[[#This Row],[1]:[27]])</f>
        <v>0</v>
      </c>
      <c r="AN63" s="447">
        <f>CEILING(טבלה20[[#This Row],[סה"כ]],100)</f>
        <v>0</v>
      </c>
      <c r="AO63" s="481"/>
      <c r="AP63" s="482"/>
    </row>
    <row r="64" spans="1:42" s="475" customFormat="1" ht="16.5" customHeight="1">
      <c r="A64" s="475" t="s">
        <v>733</v>
      </c>
      <c r="B64" s="479" t="s">
        <v>575</v>
      </c>
      <c r="C64" s="427" t="e">
        <f>SUMIF([2]!טבלה21[מקט],B64,[2]!טבלה21[מחיר ליח''])</f>
        <v>#REF!</v>
      </c>
      <c r="D64" s="475">
        <v>1</v>
      </c>
      <c r="E64" s="427" t="e">
        <f t="shared" si="3"/>
        <v>#REF!</v>
      </c>
      <c r="F64" s="476">
        <v>0.17</v>
      </c>
      <c r="G64" s="442" t="e">
        <f t="shared" si="4"/>
        <v>#REF!</v>
      </c>
      <c r="H64" s="477" t="e">
        <f t="shared" si="17"/>
        <v>#REF!</v>
      </c>
      <c r="I64" s="478" t="s">
        <v>33</v>
      </c>
      <c r="J64" s="473" t="s">
        <v>729</v>
      </c>
      <c r="K64" s="479">
        <v>1.2</v>
      </c>
      <c r="L64" s="480">
        <f t="shared" si="25"/>
        <v>0</v>
      </c>
      <c r="M64" s="480">
        <f t="shared" si="25"/>
        <v>0</v>
      </c>
      <c r="N64" s="480">
        <f t="shared" si="25"/>
        <v>0</v>
      </c>
      <c r="O64" s="480">
        <f t="shared" si="25"/>
        <v>0</v>
      </c>
      <c r="P64" s="480">
        <f t="shared" si="25"/>
        <v>0</v>
      </c>
      <c r="Q64" s="480">
        <f t="shared" si="25"/>
        <v>0</v>
      </c>
      <c r="R64" s="480">
        <f t="shared" si="25"/>
        <v>0</v>
      </c>
      <c r="S64" s="480">
        <f t="shared" si="25"/>
        <v>0</v>
      </c>
      <c r="T64" s="480">
        <f t="shared" si="25"/>
        <v>0</v>
      </c>
      <c r="U64" s="480">
        <f t="shared" si="25"/>
        <v>0</v>
      </c>
      <c r="V64" s="480">
        <f t="shared" si="25"/>
        <v>0</v>
      </c>
      <c r="W64" s="480">
        <f t="shared" si="25"/>
        <v>0</v>
      </c>
      <c r="X64" s="480">
        <f t="shared" si="25"/>
        <v>0</v>
      </c>
      <c r="Y64" s="480">
        <f t="shared" si="25"/>
        <v>0</v>
      </c>
      <c r="Z64" s="480">
        <f t="shared" si="25"/>
        <v>0</v>
      </c>
      <c r="AA64" s="480">
        <f t="shared" si="25"/>
        <v>0</v>
      </c>
      <c r="AB64" s="480">
        <f t="shared" si="25"/>
        <v>0</v>
      </c>
      <c r="AC64" s="480">
        <f t="shared" si="25"/>
        <v>0</v>
      </c>
      <c r="AD64" s="480">
        <f t="shared" si="25"/>
        <v>0</v>
      </c>
      <c r="AE64" s="480">
        <f t="shared" si="25"/>
        <v>0</v>
      </c>
      <c r="AF64" s="480">
        <f t="shared" si="25"/>
        <v>0</v>
      </c>
      <c r="AG64" s="480">
        <f t="shared" si="25"/>
        <v>0</v>
      </c>
      <c r="AH64" s="480">
        <f t="shared" si="25"/>
        <v>0</v>
      </c>
      <c r="AI64" s="480">
        <f t="shared" si="25"/>
        <v>0</v>
      </c>
      <c r="AJ64" s="480">
        <f t="shared" si="25"/>
        <v>0</v>
      </c>
      <c r="AK64" s="480">
        <f t="shared" si="25"/>
        <v>0</v>
      </c>
      <c r="AL64" s="480">
        <f t="shared" si="19"/>
        <v>0</v>
      </c>
      <c r="AM64" s="480">
        <f>SUM(טבלה20[[#This Row],[1]:[27]])</f>
        <v>0</v>
      </c>
      <c r="AN64" s="447">
        <f>CEILING(טבלה20[[#This Row],[סה"כ]],100)</f>
        <v>0</v>
      </c>
      <c r="AO64" s="473"/>
      <c r="AP64" s="480"/>
    </row>
    <row r="65" spans="1:42" s="483" customFormat="1" ht="16.5" customHeight="1">
      <c r="A65" s="475" t="s">
        <v>733</v>
      </c>
      <c r="B65" s="440" t="s">
        <v>570</v>
      </c>
      <c r="C65" s="427" t="e">
        <f>SUMIF([2]!טבלה21[מקט],B65,[2]!טבלה21[מחיר ליח''])</f>
        <v>#REF!</v>
      </c>
      <c r="D65" s="475">
        <v>1</v>
      </c>
      <c r="E65" s="427" t="e">
        <f t="shared" si="3"/>
        <v>#REF!</v>
      </c>
      <c r="F65" s="476">
        <v>0.17</v>
      </c>
      <c r="G65" s="442" t="e">
        <f t="shared" si="4"/>
        <v>#REF!</v>
      </c>
      <c r="H65" s="477" t="e">
        <f t="shared" si="17"/>
        <v>#REF!</v>
      </c>
      <c r="I65" s="440" t="s">
        <v>29</v>
      </c>
      <c r="J65" s="444" t="s">
        <v>729</v>
      </c>
      <c r="K65" s="472">
        <v>1.2</v>
      </c>
      <c r="L65" s="480">
        <f t="shared" si="25"/>
        <v>0</v>
      </c>
      <c r="M65" s="480">
        <f t="shared" si="25"/>
        <v>0</v>
      </c>
      <c r="N65" s="480">
        <f t="shared" si="25"/>
        <v>0</v>
      </c>
      <c r="O65" s="480">
        <f t="shared" si="25"/>
        <v>0</v>
      </c>
      <c r="P65" s="480">
        <f t="shared" si="25"/>
        <v>0</v>
      </c>
      <c r="Q65" s="480">
        <f t="shared" si="25"/>
        <v>0</v>
      </c>
      <c r="R65" s="480">
        <f t="shared" si="25"/>
        <v>0</v>
      </c>
      <c r="S65" s="480">
        <f t="shared" si="25"/>
        <v>0</v>
      </c>
      <c r="T65" s="480">
        <f t="shared" si="25"/>
        <v>0</v>
      </c>
      <c r="U65" s="480">
        <f t="shared" si="25"/>
        <v>0</v>
      </c>
      <c r="V65" s="480">
        <f t="shared" si="25"/>
        <v>0</v>
      </c>
      <c r="W65" s="480">
        <f t="shared" si="25"/>
        <v>0</v>
      </c>
      <c r="X65" s="480">
        <f t="shared" si="25"/>
        <v>0</v>
      </c>
      <c r="Y65" s="480">
        <f t="shared" si="25"/>
        <v>0</v>
      </c>
      <c r="Z65" s="480">
        <f t="shared" si="25"/>
        <v>0</v>
      </c>
      <c r="AA65" s="480">
        <f t="shared" si="25"/>
        <v>0</v>
      </c>
      <c r="AB65" s="480">
        <f t="shared" si="25"/>
        <v>0</v>
      </c>
      <c r="AC65" s="480">
        <f t="shared" si="25"/>
        <v>0</v>
      </c>
      <c r="AD65" s="480">
        <f t="shared" si="25"/>
        <v>0</v>
      </c>
      <c r="AE65" s="480">
        <f t="shared" si="25"/>
        <v>0</v>
      </c>
      <c r="AF65" s="480">
        <f t="shared" si="25"/>
        <v>0</v>
      </c>
      <c r="AG65" s="480">
        <f t="shared" si="25"/>
        <v>0</v>
      </c>
      <c r="AH65" s="480">
        <f t="shared" si="25"/>
        <v>0</v>
      </c>
      <c r="AI65" s="480">
        <f t="shared" si="25"/>
        <v>0</v>
      </c>
      <c r="AJ65" s="480">
        <f t="shared" si="25"/>
        <v>0</v>
      </c>
      <c r="AK65" s="480">
        <f t="shared" si="25"/>
        <v>0</v>
      </c>
      <c r="AL65" s="480">
        <f t="shared" si="19"/>
        <v>0</v>
      </c>
      <c r="AM65" s="480">
        <f>SUM(טבלה20[[#This Row],[1]:[27]])</f>
        <v>0</v>
      </c>
      <c r="AN65" s="447">
        <f>CEILING(טבלה20[[#This Row],[סה"כ]],25)</f>
        <v>0</v>
      </c>
    </row>
    <row r="66" spans="1:42" s="475" customFormat="1" ht="16.5" customHeight="1">
      <c r="A66" s="475" t="s">
        <v>733</v>
      </c>
      <c r="B66" s="479" t="s">
        <v>577</v>
      </c>
      <c r="C66" s="427" t="e">
        <f>SUMIF([2]!טבלה21[מקט],B66,[2]!טבלה21[מחיר ליח''])</f>
        <v>#REF!</v>
      </c>
      <c r="D66" s="475">
        <v>1</v>
      </c>
      <c r="E66" s="427" t="e">
        <f t="shared" si="3"/>
        <v>#REF!</v>
      </c>
      <c r="F66" s="476">
        <v>0.17</v>
      </c>
      <c r="G66" s="442" t="e">
        <f t="shared" si="4"/>
        <v>#REF!</v>
      </c>
      <c r="H66" s="477" t="e">
        <f t="shared" si="17"/>
        <v>#REF!</v>
      </c>
      <c r="I66" s="478" t="s">
        <v>34</v>
      </c>
      <c r="J66" s="473" t="s">
        <v>730</v>
      </c>
      <c r="K66" s="479">
        <v>2</v>
      </c>
      <c r="L66" s="480">
        <f t="shared" ref="L66:AK69" si="26">IF(L$42&gt;0,$K66,0)</f>
        <v>0</v>
      </c>
      <c r="M66" s="480">
        <f t="shared" si="26"/>
        <v>0</v>
      </c>
      <c r="N66" s="480">
        <f t="shared" si="26"/>
        <v>0</v>
      </c>
      <c r="O66" s="480">
        <f t="shared" si="26"/>
        <v>0</v>
      </c>
      <c r="P66" s="480">
        <f t="shared" si="26"/>
        <v>0</v>
      </c>
      <c r="Q66" s="480">
        <f t="shared" si="26"/>
        <v>0</v>
      </c>
      <c r="R66" s="480">
        <f t="shared" si="26"/>
        <v>0</v>
      </c>
      <c r="S66" s="480">
        <f t="shared" si="26"/>
        <v>0</v>
      </c>
      <c r="T66" s="480">
        <f t="shared" si="26"/>
        <v>0</v>
      </c>
      <c r="U66" s="480">
        <f t="shared" si="26"/>
        <v>0</v>
      </c>
      <c r="V66" s="480">
        <f t="shared" si="26"/>
        <v>0</v>
      </c>
      <c r="W66" s="480">
        <f t="shared" si="26"/>
        <v>0</v>
      </c>
      <c r="X66" s="480">
        <f t="shared" si="26"/>
        <v>0</v>
      </c>
      <c r="Y66" s="480">
        <f t="shared" si="26"/>
        <v>0</v>
      </c>
      <c r="Z66" s="480">
        <f t="shared" si="26"/>
        <v>0</v>
      </c>
      <c r="AA66" s="480">
        <f t="shared" si="26"/>
        <v>0</v>
      </c>
      <c r="AB66" s="480">
        <f t="shared" si="26"/>
        <v>0</v>
      </c>
      <c r="AC66" s="480">
        <f t="shared" si="26"/>
        <v>0</v>
      </c>
      <c r="AD66" s="480">
        <f t="shared" si="26"/>
        <v>0</v>
      </c>
      <c r="AE66" s="480">
        <f t="shared" si="26"/>
        <v>0</v>
      </c>
      <c r="AF66" s="480">
        <f t="shared" si="26"/>
        <v>0</v>
      </c>
      <c r="AG66" s="480">
        <f t="shared" si="26"/>
        <v>0</v>
      </c>
      <c r="AH66" s="480">
        <f t="shared" si="26"/>
        <v>0</v>
      </c>
      <c r="AI66" s="480">
        <f t="shared" si="26"/>
        <v>0</v>
      </c>
      <c r="AJ66" s="480">
        <f t="shared" si="26"/>
        <v>0</v>
      </c>
      <c r="AK66" s="480">
        <f t="shared" si="26"/>
        <v>0</v>
      </c>
      <c r="AL66" s="480">
        <f>IF(AL$42&gt;0,$K66,0)</f>
        <v>0</v>
      </c>
      <c r="AM66" s="480">
        <f>SUM(טבלה20[[#This Row],[1]:[27]])</f>
        <v>0</v>
      </c>
      <c r="AN66" s="447">
        <f>CEILING(טבלה20[[#This Row],[סה"כ]],25)</f>
        <v>0</v>
      </c>
      <c r="AO66" s="473"/>
      <c r="AP66" s="480"/>
    </row>
    <row r="67" spans="1:42" s="483" customFormat="1" ht="16.5" customHeight="1">
      <c r="A67" s="475" t="s">
        <v>733</v>
      </c>
      <c r="B67" s="440" t="s">
        <v>578</v>
      </c>
      <c r="C67" s="427" t="e">
        <f>SUMIF([2]!טבלה21[מקט],B67,[2]!טבלה21[מחיר ליח''])</f>
        <v>#REF!</v>
      </c>
      <c r="D67" s="475">
        <v>1</v>
      </c>
      <c r="E67" s="427" t="e">
        <f t="shared" si="3"/>
        <v>#REF!</v>
      </c>
      <c r="F67" s="476">
        <v>0.17</v>
      </c>
      <c r="G67" s="442" t="e">
        <f t="shared" si="4"/>
        <v>#REF!</v>
      </c>
      <c r="H67" s="477" t="e">
        <f t="shared" si="17"/>
        <v>#REF!</v>
      </c>
      <c r="I67" s="440" t="s">
        <v>731</v>
      </c>
      <c r="J67" s="444" t="s">
        <v>691</v>
      </c>
      <c r="K67" s="450">
        <v>8</v>
      </c>
      <c r="L67" s="480">
        <f t="shared" si="26"/>
        <v>0</v>
      </c>
      <c r="M67" s="480">
        <f t="shared" si="26"/>
        <v>0</v>
      </c>
      <c r="N67" s="480">
        <f t="shared" si="26"/>
        <v>0</v>
      </c>
      <c r="O67" s="480">
        <f t="shared" si="26"/>
        <v>0</v>
      </c>
      <c r="P67" s="480">
        <f t="shared" si="26"/>
        <v>0</v>
      </c>
      <c r="Q67" s="480">
        <f t="shared" si="26"/>
        <v>0</v>
      </c>
      <c r="R67" s="480">
        <f t="shared" si="26"/>
        <v>0</v>
      </c>
      <c r="S67" s="480">
        <f t="shared" si="26"/>
        <v>0</v>
      </c>
      <c r="T67" s="480">
        <f t="shared" si="26"/>
        <v>0</v>
      </c>
      <c r="U67" s="480">
        <f t="shared" si="26"/>
        <v>0</v>
      </c>
      <c r="V67" s="480">
        <f t="shared" si="26"/>
        <v>0</v>
      </c>
      <c r="W67" s="480">
        <f t="shared" si="26"/>
        <v>0</v>
      </c>
      <c r="X67" s="480">
        <f t="shared" si="26"/>
        <v>0</v>
      </c>
      <c r="Y67" s="480">
        <f t="shared" si="26"/>
        <v>0</v>
      </c>
      <c r="Z67" s="480">
        <f t="shared" si="26"/>
        <v>0</v>
      </c>
      <c r="AA67" s="480">
        <f t="shared" si="26"/>
        <v>0</v>
      </c>
      <c r="AB67" s="480">
        <f t="shared" si="26"/>
        <v>0</v>
      </c>
      <c r="AC67" s="480">
        <f t="shared" si="26"/>
        <v>0</v>
      </c>
      <c r="AD67" s="480">
        <f t="shared" si="26"/>
        <v>0</v>
      </c>
      <c r="AE67" s="480">
        <f t="shared" si="26"/>
        <v>0</v>
      </c>
      <c r="AF67" s="480">
        <f t="shared" si="26"/>
        <v>0</v>
      </c>
      <c r="AG67" s="480">
        <f t="shared" si="26"/>
        <v>0</v>
      </c>
      <c r="AH67" s="480">
        <f t="shared" si="26"/>
        <v>0</v>
      </c>
      <c r="AI67" s="480">
        <f t="shared" si="26"/>
        <v>0</v>
      </c>
      <c r="AJ67" s="480">
        <f t="shared" si="26"/>
        <v>0</v>
      </c>
      <c r="AK67" s="480">
        <f t="shared" si="26"/>
        <v>0</v>
      </c>
      <c r="AL67" s="480">
        <f>IF(AL$42&gt;0,$K67,0)</f>
        <v>0</v>
      </c>
      <c r="AM67" s="485">
        <f>SUM(טבלה20[[#This Row],[1]:[27]])</f>
        <v>0</v>
      </c>
      <c r="AN67" s="447">
        <f>CEILING(טבלה20[[#This Row],[סה"כ]],100)</f>
        <v>0</v>
      </c>
    </row>
    <row r="68" spans="1:42" s="475" customFormat="1" ht="16.5" customHeight="1">
      <c r="A68" s="475" t="s">
        <v>733</v>
      </c>
      <c r="B68" s="479" t="s">
        <v>580</v>
      </c>
      <c r="C68" s="427" t="e">
        <f>SUMIF([2]!טבלה21[מקט],B68,[2]!טבלה21[מחיר ליח''])</f>
        <v>#REF!</v>
      </c>
      <c r="D68" s="475">
        <v>1</v>
      </c>
      <c r="E68" s="427" t="e">
        <f t="shared" si="3"/>
        <v>#REF!</v>
      </c>
      <c r="F68" s="476">
        <v>0.17</v>
      </c>
      <c r="G68" s="442" t="e">
        <f t="shared" si="4"/>
        <v>#REF!</v>
      </c>
      <c r="H68" s="477" t="e">
        <f t="shared" si="17"/>
        <v>#REF!</v>
      </c>
      <c r="I68" s="478" t="s">
        <v>37</v>
      </c>
      <c r="J68" s="473" t="s">
        <v>732</v>
      </c>
      <c r="K68" s="479">
        <v>1</v>
      </c>
      <c r="L68" s="480">
        <f t="shared" si="26"/>
        <v>0</v>
      </c>
      <c r="M68" s="480">
        <f t="shared" si="26"/>
        <v>0</v>
      </c>
      <c r="N68" s="480">
        <f t="shared" si="26"/>
        <v>0</v>
      </c>
      <c r="O68" s="480">
        <f t="shared" si="26"/>
        <v>0</v>
      </c>
      <c r="P68" s="480">
        <f t="shared" si="26"/>
        <v>0</v>
      </c>
      <c r="Q68" s="480">
        <f t="shared" si="26"/>
        <v>0</v>
      </c>
      <c r="R68" s="480">
        <f t="shared" si="26"/>
        <v>0</v>
      </c>
      <c r="S68" s="480">
        <f t="shared" si="26"/>
        <v>0</v>
      </c>
      <c r="T68" s="480">
        <f t="shared" si="26"/>
        <v>0</v>
      </c>
      <c r="U68" s="480">
        <f t="shared" si="26"/>
        <v>0</v>
      </c>
      <c r="V68" s="480">
        <f t="shared" si="26"/>
        <v>0</v>
      </c>
      <c r="W68" s="480">
        <f t="shared" si="26"/>
        <v>0</v>
      </c>
      <c r="X68" s="480">
        <f t="shared" si="26"/>
        <v>0</v>
      </c>
      <c r="Y68" s="480">
        <f t="shared" si="26"/>
        <v>0</v>
      </c>
      <c r="Z68" s="480">
        <f t="shared" si="26"/>
        <v>0</v>
      </c>
      <c r="AA68" s="480">
        <f t="shared" si="26"/>
        <v>0</v>
      </c>
      <c r="AB68" s="480">
        <f t="shared" si="26"/>
        <v>0</v>
      </c>
      <c r="AC68" s="480">
        <f t="shared" si="26"/>
        <v>0</v>
      </c>
      <c r="AD68" s="480">
        <f t="shared" si="26"/>
        <v>0</v>
      </c>
      <c r="AE68" s="480">
        <f t="shared" si="26"/>
        <v>0</v>
      </c>
      <c r="AF68" s="480">
        <f t="shared" si="26"/>
        <v>0</v>
      </c>
      <c r="AG68" s="480">
        <f t="shared" si="26"/>
        <v>0</v>
      </c>
      <c r="AH68" s="480">
        <f t="shared" si="26"/>
        <v>0</v>
      </c>
      <c r="AI68" s="480">
        <f t="shared" si="26"/>
        <v>0</v>
      </c>
      <c r="AJ68" s="480">
        <f t="shared" si="26"/>
        <v>0</v>
      </c>
      <c r="AK68" s="480">
        <f t="shared" si="26"/>
        <v>0</v>
      </c>
      <c r="AL68" s="480">
        <f>IF(AL$42&gt;0,$K68,0)</f>
        <v>0</v>
      </c>
      <c r="AM68" s="480">
        <f>SUM(טבלה20[[#This Row],[1]:[27]])</f>
        <v>0</v>
      </c>
      <c r="AN68" s="447">
        <f>טבלה20[[#This Row],[סה"כ]]</f>
        <v>0</v>
      </c>
      <c r="AO68" s="473"/>
      <c r="AP68" s="480"/>
    </row>
    <row r="69" spans="1:42" s="483" customFormat="1" ht="16.5" customHeight="1">
      <c r="A69" s="475" t="s">
        <v>733</v>
      </c>
      <c r="B69" s="440" t="s">
        <v>584</v>
      </c>
      <c r="C69" s="427" t="e">
        <f>SUMIF([2]!טבלה21[מקט],B69,[2]!טבלה21[מחיר ליח''])</f>
        <v>#REF!</v>
      </c>
      <c r="D69" s="475">
        <v>1</v>
      </c>
      <c r="E69" s="427" t="e">
        <f t="shared" si="3"/>
        <v>#REF!</v>
      </c>
      <c r="F69" s="476">
        <v>0.17</v>
      </c>
      <c r="G69" s="442" t="e">
        <f t="shared" si="4"/>
        <v>#REF!</v>
      </c>
      <c r="H69" s="477" t="e">
        <f t="shared" si="17"/>
        <v>#REF!</v>
      </c>
      <c r="I69" s="440" t="s">
        <v>522</v>
      </c>
      <c r="J69" s="444" t="s">
        <v>726</v>
      </c>
      <c r="K69" s="450">
        <v>1</v>
      </c>
      <c r="L69" s="480">
        <f t="shared" si="26"/>
        <v>0</v>
      </c>
      <c r="M69" s="480">
        <f t="shared" si="26"/>
        <v>0</v>
      </c>
      <c r="N69" s="480">
        <f t="shared" si="26"/>
        <v>0</v>
      </c>
      <c r="O69" s="480">
        <f t="shared" si="26"/>
        <v>0</v>
      </c>
      <c r="P69" s="480">
        <f t="shared" si="26"/>
        <v>0</v>
      </c>
      <c r="Q69" s="480">
        <f t="shared" si="26"/>
        <v>0</v>
      </c>
      <c r="R69" s="480">
        <f t="shared" si="26"/>
        <v>0</v>
      </c>
      <c r="S69" s="480">
        <f t="shared" si="26"/>
        <v>0</v>
      </c>
      <c r="T69" s="480">
        <f t="shared" si="26"/>
        <v>0</v>
      </c>
      <c r="U69" s="480">
        <f t="shared" si="26"/>
        <v>0</v>
      </c>
      <c r="V69" s="480">
        <f t="shared" si="26"/>
        <v>0</v>
      </c>
      <c r="W69" s="480">
        <f t="shared" si="26"/>
        <v>0</v>
      </c>
      <c r="X69" s="480">
        <f t="shared" si="26"/>
        <v>0</v>
      </c>
      <c r="Y69" s="480">
        <f t="shared" si="26"/>
        <v>0</v>
      </c>
      <c r="Z69" s="480">
        <f t="shared" si="26"/>
        <v>0</v>
      </c>
      <c r="AA69" s="480">
        <f t="shared" si="26"/>
        <v>0</v>
      </c>
      <c r="AB69" s="480">
        <f t="shared" si="26"/>
        <v>0</v>
      </c>
      <c r="AC69" s="480">
        <f t="shared" si="26"/>
        <v>0</v>
      </c>
      <c r="AD69" s="480">
        <f t="shared" si="26"/>
        <v>0</v>
      </c>
      <c r="AE69" s="480">
        <f t="shared" si="26"/>
        <v>0</v>
      </c>
      <c r="AF69" s="480">
        <f t="shared" si="26"/>
        <v>0</v>
      </c>
      <c r="AG69" s="480">
        <f t="shared" si="26"/>
        <v>0</v>
      </c>
      <c r="AH69" s="480">
        <f t="shared" si="26"/>
        <v>0</v>
      </c>
      <c r="AI69" s="480">
        <f t="shared" si="26"/>
        <v>0</v>
      </c>
      <c r="AJ69" s="480">
        <f t="shared" si="26"/>
        <v>0</v>
      </c>
      <c r="AK69" s="480">
        <f t="shared" si="26"/>
        <v>0</v>
      </c>
      <c r="AL69" s="480">
        <f>IF(AL$42&gt;0,$K69,0)</f>
        <v>0</v>
      </c>
      <c r="AM69" s="485">
        <f>SUM(טבלה20[[#This Row],[1]:[27]])</f>
        <v>0</v>
      </c>
      <c r="AN69" s="447">
        <f>ROUNDUP(טבלה20[[#This Row],[סה"כ]]/16,0)</f>
        <v>0</v>
      </c>
    </row>
    <row r="70" spans="1:42" s="483" customFormat="1" ht="16.5" customHeight="1">
      <c r="A70" s="475"/>
      <c r="B70" s="440"/>
      <c r="C70" s="427"/>
      <c r="D70" s="475"/>
      <c r="E70" s="427"/>
      <c r="F70" s="476"/>
      <c r="G70" s="442"/>
      <c r="H70" s="477"/>
      <c r="I70" s="440"/>
      <c r="J70" s="444"/>
      <c r="K70" s="450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  <c r="AF70" s="485"/>
      <c r="AG70" s="485"/>
      <c r="AH70" s="485"/>
      <c r="AI70" s="485"/>
      <c r="AJ70" s="485"/>
      <c r="AK70" s="485"/>
      <c r="AL70" s="485"/>
      <c r="AM70" s="485"/>
      <c r="AN70" s="447"/>
    </row>
    <row r="71" spans="1:42" s="483" customFormat="1" ht="16.5" customHeight="1">
      <c r="A71" s="475"/>
      <c r="B71" s="440"/>
      <c r="C71" s="427"/>
      <c r="D71" s="475"/>
      <c r="E71" s="427"/>
      <c r="F71" s="476"/>
      <c r="G71" s="442"/>
      <c r="H71" s="477"/>
      <c r="I71" s="440"/>
      <c r="J71" s="444"/>
      <c r="K71" s="450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  <c r="AD71" s="485"/>
      <c r="AE71" s="485"/>
      <c r="AF71" s="485"/>
      <c r="AG71" s="485"/>
      <c r="AH71" s="485"/>
      <c r="AI71" s="485"/>
      <c r="AJ71" s="485"/>
      <c r="AK71" s="485"/>
      <c r="AL71" s="485"/>
      <c r="AM71" s="485"/>
      <c r="AN71" s="447"/>
    </row>
    <row r="72" spans="1:42" s="483" customFormat="1" ht="16.5" customHeight="1">
      <c r="A72" s="475"/>
      <c r="B72" s="440"/>
      <c r="C72" s="427"/>
      <c r="D72" s="475"/>
      <c r="E72" s="427"/>
      <c r="F72" s="476"/>
      <c r="G72" s="442"/>
      <c r="H72" s="477"/>
      <c r="I72" s="440"/>
      <c r="J72" s="444"/>
      <c r="K72" s="450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447"/>
    </row>
    <row r="73" spans="1:42" s="483" customFormat="1" ht="16.5" customHeight="1">
      <c r="A73" s="475"/>
      <c r="B73" s="440"/>
      <c r="C73" s="427"/>
      <c r="D73" s="475"/>
      <c r="E73" s="427"/>
      <c r="F73" s="476"/>
      <c r="G73" s="442"/>
      <c r="H73" s="477"/>
      <c r="I73" s="440"/>
      <c r="J73" s="444"/>
      <c r="K73" s="450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5"/>
      <c r="AN73" s="447"/>
    </row>
    <row r="74" spans="1:42" ht="16.5" customHeight="1">
      <c r="H74" s="486"/>
      <c r="I74" s="364"/>
      <c r="J74" s="234"/>
      <c r="K74" s="223"/>
      <c r="L74" s="220"/>
      <c r="M74" s="220"/>
      <c r="S74" s="170"/>
      <c r="T74" s="170"/>
      <c r="U74" s="170"/>
    </row>
    <row r="75" spans="1:42" ht="16.5" customHeight="1">
      <c r="H75" s="486"/>
      <c r="I75" s="364"/>
      <c r="J75" s="234"/>
      <c r="K75" s="223"/>
      <c r="L75" s="220"/>
      <c r="M75" s="220"/>
      <c r="S75" s="170"/>
      <c r="T75" s="170"/>
      <c r="U75" s="170"/>
    </row>
    <row r="76" spans="1:42" ht="16.5" customHeight="1">
      <c r="H76" s="486"/>
      <c r="I76" s="364"/>
      <c r="J76" s="234"/>
      <c r="K76" s="223"/>
      <c r="L76" s="220"/>
      <c r="M76" s="220"/>
      <c r="S76" s="170"/>
      <c r="T76" s="170"/>
      <c r="U76" s="170"/>
    </row>
    <row r="77" spans="1:42" ht="16.5" customHeight="1">
      <c r="H77" s="486"/>
      <c r="I77" s="364"/>
      <c r="J77" s="234"/>
      <c r="K77" s="223"/>
      <c r="L77" s="220"/>
      <c r="M77" s="220"/>
      <c r="S77" s="170"/>
      <c r="T77" s="170"/>
      <c r="U77" s="170"/>
    </row>
    <row r="78" spans="1:42" ht="16.5" customHeight="1">
      <c r="H78" s="486"/>
      <c r="I78" s="364"/>
      <c r="J78" s="234"/>
      <c r="K78" s="223"/>
      <c r="L78" s="220"/>
      <c r="M78" s="220"/>
      <c r="S78" s="170"/>
      <c r="T78" s="170"/>
      <c r="U78" s="170"/>
    </row>
    <row r="79" spans="1:42" ht="16.5" customHeight="1">
      <c r="H79" s="486"/>
      <c r="I79" s="364"/>
      <c r="J79" s="234"/>
      <c r="K79" s="223"/>
      <c r="L79" s="220"/>
      <c r="M79" s="220"/>
      <c r="S79" s="170"/>
      <c r="T79" s="170"/>
      <c r="U79" s="170"/>
    </row>
    <row r="80" spans="1:42" ht="16.5" customHeight="1">
      <c r="H80" s="486"/>
      <c r="I80" s="364"/>
      <c r="J80" s="234"/>
      <c r="K80" s="223"/>
      <c r="L80" s="220"/>
      <c r="M80" s="220"/>
      <c r="S80" s="170"/>
      <c r="T80" s="170"/>
      <c r="U80" s="170"/>
    </row>
    <row r="81" spans="8:21" ht="16.5" customHeight="1">
      <c r="H81" s="486"/>
      <c r="I81" s="364"/>
      <c r="J81" s="234"/>
      <c r="K81" s="223"/>
      <c r="L81" s="220"/>
      <c r="M81" s="220"/>
      <c r="S81" s="170"/>
      <c r="T81" s="170"/>
      <c r="U81" s="170"/>
    </row>
    <row r="82" spans="8:21" ht="16.5" customHeight="1">
      <c r="H82" s="486"/>
      <c r="I82" s="364"/>
      <c r="J82" s="234"/>
      <c r="K82" s="223"/>
      <c r="L82" s="220"/>
      <c r="M82" s="220"/>
      <c r="S82" s="170"/>
      <c r="T82" s="170"/>
      <c r="U82" s="170"/>
    </row>
    <row r="83" spans="8:21" ht="16.5" customHeight="1">
      <c r="H83" s="486"/>
      <c r="I83" s="364"/>
      <c r="J83" s="234"/>
      <c r="K83" s="223"/>
      <c r="L83" s="220"/>
      <c r="M83" s="220"/>
      <c r="S83" s="170"/>
      <c r="T83" s="170"/>
      <c r="U83" s="170"/>
    </row>
    <row r="84" spans="8:21" ht="16.5" customHeight="1">
      <c r="H84" s="486"/>
      <c r="I84" s="364"/>
      <c r="J84" s="234"/>
      <c r="K84" s="223"/>
      <c r="L84" s="220"/>
      <c r="M84" s="220"/>
      <c r="S84" s="170"/>
      <c r="T84" s="170"/>
      <c r="U84" s="170"/>
    </row>
    <row r="85" spans="8:21" ht="16.5" customHeight="1">
      <c r="H85" s="486"/>
      <c r="I85" s="364"/>
      <c r="J85" s="234"/>
      <c r="K85" s="223"/>
      <c r="L85" s="220"/>
      <c r="M85" s="220"/>
      <c r="S85" s="170"/>
      <c r="T85" s="170"/>
      <c r="U85" s="170"/>
    </row>
    <row r="86" spans="8:21" ht="16.5" customHeight="1">
      <c r="H86" s="486"/>
      <c r="I86" s="364"/>
      <c r="J86" s="234"/>
      <c r="K86" s="223"/>
      <c r="L86" s="220"/>
      <c r="M86" s="220"/>
      <c r="S86" s="170"/>
      <c r="T86" s="170"/>
      <c r="U86" s="170"/>
    </row>
    <row r="87" spans="8:21" ht="16.5" customHeight="1">
      <c r="H87" s="219"/>
      <c r="I87" s="223"/>
      <c r="J87" s="234"/>
      <c r="K87" s="223"/>
      <c r="L87" s="220"/>
      <c r="M87" s="220"/>
      <c r="S87" s="170"/>
      <c r="T87" s="170"/>
      <c r="U87" s="170"/>
    </row>
    <row r="88" spans="8:21" ht="16.5" customHeight="1">
      <c r="H88" s="170"/>
      <c r="I88" s="438"/>
      <c r="S88" s="170"/>
      <c r="T88" s="170"/>
      <c r="U88" s="170"/>
    </row>
    <row r="89" spans="8:21" ht="16.5" customHeight="1">
      <c r="H89" s="170"/>
      <c r="I89" s="438"/>
      <c r="S89" s="170"/>
      <c r="T89" s="170"/>
      <c r="U89" s="170"/>
    </row>
    <row r="90" spans="8:21" ht="16.5" customHeight="1">
      <c r="H90" s="170"/>
      <c r="I90" s="438"/>
      <c r="S90" s="170"/>
      <c r="T90" s="170"/>
      <c r="U90" s="170"/>
    </row>
    <row r="91" spans="8:21" ht="16.5" customHeight="1">
      <c r="H91" s="170"/>
      <c r="I91" s="438"/>
      <c r="S91" s="170"/>
      <c r="T91" s="170"/>
      <c r="U91" s="170"/>
    </row>
    <row r="92" spans="8:21" ht="16.5" customHeight="1">
      <c r="H92" s="170"/>
      <c r="I92" s="438"/>
      <c r="S92" s="170"/>
      <c r="T92" s="170"/>
      <c r="U92" s="170"/>
    </row>
    <row r="93" spans="8:21" ht="16.5" customHeight="1">
      <c r="H93" s="170"/>
      <c r="I93" s="438"/>
      <c r="S93" s="170"/>
      <c r="T93" s="170"/>
      <c r="U93" s="170"/>
    </row>
    <row r="94" spans="8:21" ht="16.5" customHeight="1">
      <c r="H94" s="170"/>
      <c r="I94" s="438"/>
      <c r="S94" s="170"/>
      <c r="T94" s="170"/>
      <c r="U94" s="170"/>
    </row>
    <row r="95" spans="8:21" ht="16.5" customHeight="1">
      <c r="H95" s="170"/>
      <c r="I95" s="438"/>
      <c r="S95" s="170"/>
      <c r="T95" s="170"/>
      <c r="U95" s="170"/>
    </row>
    <row r="96" spans="8:21" ht="16.5" customHeight="1">
      <c r="H96" s="170"/>
      <c r="I96" s="438"/>
      <c r="S96" s="170"/>
      <c r="T96" s="170"/>
      <c r="U96" s="170"/>
    </row>
    <row r="97" spans="8:21" ht="16.5" customHeight="1">
      <c r="H97" s="170"/>
      <c r="I97" s="438"/>
      <c r="S97" s="170"/>
      <c r="T97" s="170"/>
      <c r="U97" s="170"/>
    </row>
    <row r="98" spans="8:21" ht="16.5" customHeight="1">
      <c r="H98" s="170"/>
      <c r="I98" s="438"/>
      <c r="S98" s="170"/>
      <c r="T98" s="170"/>
      <c r="U98" s="170"/>
    </row>
    <row r="99" spans="8:21" ht="16.5" customHeight="1">
      <c r="H99" s="170"/>
      <c r="I99" s="438"/>
      <c r="S99" s="170"/>
      <c r="T99" s="170"/>
      <c r="U99" s="170"/>
    </row>
    <row r="100" spans="8:21" ht="16.5" customHeight="1">
      <c r="H100" s="170"/>
      <c r="I100" s="438"/>
      <c r="S100" s="170"/>
      <c r="T100" s="170"/>
      <c r="U100" s="170"/>
    </row>
    <row r="101" spans="8:21" ht="16.5" customHeight="1">
      <c r="H101" s="170"/>
      <c r="I101" s="438"/>
      <c r="S101" s="170"/>
      <c r="T101" s="170"/>
      <c r="U101" s="170"/>
    </row>
    <row r="102" spans="8:21" ht="16.5" customHeight="1">
      <c r="H102" s="170"/>
      <c r="I102" s="438"/>
      <c r="S102" s="170"/>
      <c r="T102" s="170"/>
      <c r="U102" s="170"/>
    </row>
    <row r="103" spans="8:21" ht="16.5" customHeight="1">
      <c r="H103" s="170"/>
      <c r="I103" s="438"/>
      <c r="S103" s="170"/>
      <c r="T103" s="170"/>
      <c r="U103" s="170"/>
    </row>
    <row r="104" spans="8:21" ht="16.5" customHeight="1">
      <c r="H104" s="170"/>
      <c r="I104" s="438"/>
      <c r="S104" s="170"/>
      <c r="T104" s="170"/>
      <c r="U104" s="170"/>
    </row>
    <row r="105" spans="8:21" ht="16.5" customHeight="1">
      <c r="H105" s="170"/>
      <c r="I105" s="438"/>
      <c r="S105" s="170"/>
      <c r="T105" s="170"/>
      <c r="U105" s="170"/>
    </row>
  </sheetData>
  <dataConsolidate/>
  <mergeCells count="3">
    <mergeCell ref="J38:AN38"/>
    <mergeCell ref="J2:AN2"/>
    <mergeCell ref="I2:I9"/>
  </mergeCells>
  <pageMargins left="0.7" right="0.7" top="0.75" bottom="0.75" header="0.3" footer="0.3"/>
  <pageSetup paperSize="9" scale="36" fitToHeight="0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DCD4A385C4478345AE0322C8C95D" ma:contentTypeVersion="5" ma:contentTypeDescription="Create a new document." ma:contentTypeScope="" ma:versionID="5064c7789b920806000f2c3904fd5a8a">
  <xsd:schema xmlns:xsd="http://www.w3.org/2001/XMLSchema" xmlns:xs="http://www.w3.org/2001/XMLSchema" xmlns:p="http://schemas.microsoft.com/office/2006/metadata/properties" xmlns:ns2="85a4dcd4-396f-4e08-8f55-3c1450be8e38" targetNamespace="http://schemas.microsoft.com/office/2006/metadata/properties" ma:root="true" ma:fieldsID="f2aff2a03af84a4be85482a725db7b2f" ns2:_="">
    <xsd:import namespace="85a4dcd4-396f-4e08-8f55-3c1450be8e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4dcd4-396f-4e08-8f55-3c1450be8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2BFA9-F09D-4353-A5EF-E227B4C1A9B4}">
  <ds:schemaRefs>
    <ds:schemaRef ds:uri="http://purl.org/dc/elements/1.1/"/>
    <ds:schemaRef ds:uri="http://schemas.microsoft.com/office/2006/metadata/properties"/>
    <ds:schemaRef ds:uri="85a4dcd4-396f-4e08-8f55-3c1450be8e3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9D754A-7381-4310-B788-AA5D4DC02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a4dcd4-396f-4e08-8f55-3c1450be8e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9A4E02-F24E-4EDD-B34C-8F5453241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20</vt:i4>
      </vt:variant>
      <vt:variant>
        <vt:lpstr>טווחים בעלי שם</vt:lpstr>
      </vt:variant>
      <vt:variant>
        <vt:i4>8</vt:i4>
      </vt:variant>
    </vt:vector>
  </HeadingPairs>
  <TitlesOfParts>
    <vt:vector size="28" baseType="lpstr">
      <vt:lpstr>תפריט</vt:lpstr>
      <vt:lpstr>פינת קפה</vt:lpstr>
      <vt:lpstr>פת שחרית</vt:lpstr>
      <vt:lpstr>א.בוקר פריסה</vt:lpstr>
      <vt:lpstr>א.צהריים פריסה</vt:lpstr>
      <vt:lpstr>בוקר צהרים קיטים </vt:lpstr>
      <vt:lpstr>מרק</vt:lpstr>
      <vt:lpstr>פריסת אמצע</vt:lpstr>
      <vt:lpstr>ערב בשול</vt:lpstr>
      <vt:lpstr>ארוחת ערב בישול</vt:lpstr>
      <vt:lpstr>ארוחת ערב קטנות</vt:lpstr>
      <vt:lpstr>ארוחת ערב</vt:lpstr>
      <vt:lpstr>קיטים</vt:lpstr>
      <vt:lpstr>קיטים מיוחדים</vt:lpstr>
      <vt:lpstr>תוספות להזמנה</vt:lpstr>
      <vt:lpstr>חד"פ</vt:lpstr>
      <vt:lpstr>טופס הזמנה</vt:lpstr>
      <vt:lpstr>תמחור קיט ליום</vt:lpstr>
      <vt:lpstr>גיליון1</vt:lpstr>
      <vt:lpstr>הזמנה - מחירון 2022</vt:lpstr>
      <vt:lpstr>'ארוחת ערב בישול'!k_sh</vt:lpstr>
      <vt:lpstr>'ארוחת ערב קטנות'!k_sh</vt:lpstr>
      <vt:lpstr>'ארוחת ערב בישול'!p_nak</vt:lpstr>
      <vt:lpstr>'ארוחת ערב בישול'!p_sh</vt:lpstr>
      <vt:lpstr>'ארוחת ערב קטנות'!p_sh</vt:lpstr>
      <vt:lpstr>'תוספות להזמנה'!צהריים</vt:lpstr>
      <vt:lpstr>צהריים</vt:lpstr>
      <vt:lpstr>קיטים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לוגיסטיקה - תנועת בני המושבים</dc:creator>
  <cp:lastModifiedBy>USER</cp:lastModifiedBy>
  <cp:lastPrinted>2019-06-11T09:20:42Z</cp:lastPrinted>
  <dcterms:created xsi:type="dcterms:W3CDTF">2015-06-10T16:54:35Z</dcterms:created>
  <dcterms:modified xsi:type="dcterms:W3CDTF">2022-01-31T17:46:00Z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0x010100F881DCD4A385C4478345AE0322C8C95D</vt:lpwstr>
  </property>
</Properties>
</file>